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2022\CONTRATOS\CONVOCATORIAS\005 OBRA PUBLICA TOMOGRAFO\"/>
    </mc:Choice>
  </mc:AlternateContent>
  <bookViews>
    <workbookView xWindow="-120" yWindow="-120" windowWidth="20730" windowHeight="11160" tabRatio="874" firstSheet="3" activeTab="4"/>
  </bookViews>
  <sheets>
    <sheet name="Frecuencia-Probabilidad" sheetId="49" state="hidden" r:id="rId1"/>
    <sheet name="Tabla impacto severidad" sheetId="50" state="hidden" r:id="rId2"/>
    <sheet name="Análisis" sheetId="51" state="hidden" r:id="rId3"/>
    <sheet name="PPTO 1" sheetId="53" r:id="rId4"/>
    <sheet name="APU´S" sheetId="70" r:id="rId5"/>
    <sheet name="Hoja1" sheetId="71" r:id="rId6"/>
  </sheets>
  <definedNames>
    <definedName name="_Fill" localSheetId="3" hidden="1">#REF!</definedName>
    <definedName name="_Fill" hidden="1">#REF!</definedName>
    <definedName name="_xlnm._FilterDatabase" localSheetId="3" hidden="1">'PPTO 1'!$A$3:$H$141</definedName>
    <definedName name="_xlnm.Print_Titles" localSheetId="3">'PPTO 1'!$3:$3</definedName>
  </definedNames>
  <calcPr calcId="152511"/>
  <pivotCaches>
    <pivotCache cacheId="1" r:id="rId7"/>
  </pivotCache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5" i="53" l="1"/>
  <c r="E722" i="70" l="1"/>
  <c r="E723" i="70" s="1"/>
  <c r="E716" i="70"/>
  <c r="E717" i="70" s="1"/>
  <c r="E713" i="70"/>
  <c r="E712" i="70"/>
  <c r="E711" i="70"/>
  <c r="E710" i="70"/>
  <c r="E709" i="70"/>
  <c r="F46" i="53"/>
  <c r="D24" i="53"/>
  <c r="F25" i="53"/>
  <c r="E352" i="70"/>
  <c r="E353" i="70" s="1"/>
  <c r="E346" i="70"/>
  <c r="E347" i="70" s="1"/>
  <c r="E343" i="70"/>
  <c r="E342" i="70"/>
  <c r="E341" i="70"/>
  <c r="E340" i="70"/>
  <c r="E339" i="70"/>
  <c r="E338" i="70"/>
  <c r="E337" i="70"/>
  <c r="E714" i="70" l="1"/>
  <c r="D719" i="70" s="1"/>
  <c r="E719" i="70" s="1"/>
  <c r="E720" i="70" s="1"/>
  <c r="D724" i="70" s="1"/>
  <c r="E344" i="70"/>
  <c r="D349" i="70" s="1"/>
  <c r="E349" i="70" s="1"/>
  <c r="E350" i="70" s="1"/>
  <c r="D354" i="70" s="1"/>
  <c r="B717" i="70" l="1"/>
  <c r="B714" i="70"/>
  <c r="B723" i="70"/>
  <c r="B720" i="70"/>
  <c r="B344" i="70"/>
  <c r="B347" i="70"/>
  <c r="B353" i="70"/>
  <c r="B350" i="70"/>
  <c r="D20" i="53" l="1"/>
  <c r="E1716" i="70"/>
  <c r="E1740" i="70"/>
  <c r="E1741" i="70" s="1"/>
  <c r="E1737" i="70"/>
  <c r="E1736" i="70"/>
  <c r="E1735" i="70"/>
  <c r="E1734" i="70"/>
  <c r="E1733" i="70"/>
  <c r="E1732" i="70"/>
  <c r="E1731" i="70"/>
  <c r="E1730" i="70"/>
  <c r="E1729" i="70"/>
  <c r="E1726" i="70"/>
  <c r="E1727" i="70" s="1"/>
  <c r="E1723" i="70"/>
  <c r="E1722" i="70"/>
  <c r="E1721" i="70"/>
  <c r="E1720" i="70"/>
  <c r="E1719" i="70"/>
  <c r="E1718" i="70"/>
  <c r="E1717" i="70"/>
  <c r="E1700" i="70"/>
  <c r="E1699" i="70"/>
  <c r="E1703" i="70"/>
  <c r="E1702" i="70"/>
  <c r="E1701" i="70"/>
  <c r="E1698" i="70"/>
  <c r="E1697" i="70"/>
  <c r="E1696" i="70"/>
  <c r="D1683" i="70"/>
  <c r="D1682" i="70"/>
  <c r="E1666" i="70"/>
  <c r="E1667" i="70" s="1"/>
  <c r="D1661" i="70"/>
  <c r="E1661" i="70" s="1"/>
  <c r="D1660" i="70"/>
  <c r="E1660" i="70" s="1"/>
  <c r="D1659" i="70"/>
  <c r="E1659" i="70" s="1"/>
  <c r="D1656" i="70"/>
  <c r="E1656" i="70" s="1"/>
  <c r="E1672" i="70"/>
  <c r="E1673" i="70" s="1"/>
  <c r="E1669" i="70"/>
  <c r="E1670" i="70" s="1"/>
  <c r="E1662" i="70"/>
  <c r="E1658" i="70"/>
  <c r="E1657" i="70"/>
  <c r="D1630" i="70"/>
  <c r="E1738" i="70" l="1"/>
  <c r="E1724" i="70"/>
  <c r="E1664" i="70"/>
  <c r="D1674" i="70" s="1"/>
  <c r="E120" i="53" s="1"/>
  <c r="D1742" i="70" l="1"/>
  <c r="B1738" i="70"/>
  <c r="E122" i="53"/>
  <c r="B1741" i="70"/>
  <c r="B1727" i="70"/>
  <c r="E1646" i="70"/>
  <c r="E1647" i="70" s="1"/>
  <c r="E1640" i="70"/>
  <c r="E1641" i="70" s="1"/>
  <c r="E1636" i="70"/>
  <c r="E1635" i="70"/>
  <c r="E1634" i="70"/>
  <c r="E1633" i="70"/>
  <c r="E1632" i="70"/>
  <c r="E1631" i="70"/>
  <c r="E1630" i="70"/>
  <c r="E1638" i="70" l="1"/>
  <c r="E1643" i="70"/>
  <c r="E1644" i="70" s="1"/>
  <c r="E53" i="53"/>
  <c r="F53" i="53" s="1"/>
  <c r="F52" i="53"/>
  <c r="F51" i="53"/>
  <c r="F54" i="53"/>
  <c r="F55" i="53"/>
  <c r="F56" i="53"/>
  <c r="F57" i="53"/>
  <c r="F58" i="53"/>
  <c r="F59" i="53"/>
  <c r="F60" i="53"/>
  <c r="F61" i="53"/>
  <c r="F62" i="53"/>
  <c r="E116" i="53"/>
  <c r="F116" i="53" s="1"/>
  <c r="E115" i="53"/>
  <c r="E114" i="53"/>
  <c r="C6" i="71"/>
  <c r="C5" i="71"/>
  <c r="C10" i="71"/>
  <c r="C9" i="71"/>
  <c r="C8" i="71"/>
  <c r="C7" i="71"/>
  <c r="C4" i="71"/>
  <c r="D12" i="71"/>
  <c r="D31" i="53"/>
  <c r="F140" i="53"/>
  <c r="D34" i="53"/>
  <c r="D33" i="53"/>
  <c r="D26" i="53"/>
  <c r="D23" i="53"/>
  <c r="D22" i="53"/>
  <c r="D21" i="53"/>
  <c r="D19" i="53"/>
  <c r="D18" i="53"/>
  <c r="D29" i="53"/>
  <c r="D28" i="53"/>
  <c r="D1648" i="70" l="1"/>
  <c r="E119" i="53" s="1"/>
  <c r="F139" i="53"/>
  <c r="F138" i="53" s="1"/>
  <c r="D11" i="71"/>
  <c r="D13" i="71" s="1"/>
  <c r="C13" i="71"/>
  <c r="D15" i="71" l="1"/>
  <c r="E1802" i="70"/>
  <c r="E1931" i="70" l="1"/>
  <c r="E1932" i="70" s="1"/>
  <c r="E1925" i="70"/>
  <c r="E1926" i="70" s="1"/>
  <c r="E1922" i="70"/>
  <c r="E1923" i="70" s="1"/>
  <c r="E1912" i="70"/>
  <c r="E1913" i="70" s="1"/>
  <c r="E1906" i="70"/>
  <c r="E1907" i="70" s="1"/>
  <c r="E1903" i="70"/>
  <c r="E1904" i="70" s="1"/>
  <c r="E1893" i="70"/>
  <c r="E1894" i="70" s="1"/>
  <c r="E1887" i="70"/>
  <c r="E1888" i="70" s="1"/>
  <c r="E1884" i="70"/>
  <c r="E1885" i="70" s="1"/>
  <c r="D1928" i="70" l="1"/>
  <c r="E1928" i="70" s="1"/>
  <c r="E1929" i="70" s="1"/>
  <c r="D1909" i="70"/>
  <c r="E1909" i="70" s="1"/>
  <c r="E1910" i="70" s="1"/>
  <c r="D1914" i="70" s="1"/>
  <c r="D1890" i="70"/>
  <c r="E1890" i="70" s="1"/>
  <c r="E1891" i="70" s="1"/>
  <c r="D1895" i="70" s="1"/>
  <c r="D1933" i="70" l="1"/>
  <c r="B1907" i="70"/>
  <c r="B1913" i="70"/>
  <c r="B1904" i="70"/>
  <c r="B1910" i="70"/>
  <c r="B1888" i="70"/>
  <c r="B1885" i="70"/>
  <c r="B1894" i="70"/>
  <c r="B1891" i="70"/>
  <c r="B1926" i="70" l="1"/>
  <c r="B1923" i="70"/>
  <c r="B1932" i="70"/>
  <c r="B1929" i="70"/>
  <c r="E1874" i="70" l="1"/>
  <c r="E1875" i="70" s="1"/>
  <c r="E1868" i="70"/>
  <c r="E1869" i="70" s="1"/>
  <c r="E1865" i="70"/>
  <c r="E1864" i="70"/>
  <c r="E1854" i="70"/>
  <c r="E1855" i="70" s="1"/>
  <c r="E1848" i="70"/>
  <c r="E1849" i="70" s="1"/>
  <c r="E1845" i="70"/>
  <c r="E1844" i="70"/>
  <c r="E1834" i="70"/>
  <c r="E1835" i="70" s="1"/>
  <c r="E1828" i="70"/>
  <c r="E1829" i="70" s="1"/>
  <c r="E1825" i="70"/>
  <c r="E1824" i="70"/>
  <c r="E1823" i="70"/>
  <c r="E1822" i="70"/>
  <c r="E1821" i="70"/>
  <c r="E1811" i="70"/>
  <c r="E1812" i="70" s="1"/>
  <c r="E1805" i="70"/>
  <c r="E1806" i="70" s="1"/>
  <c r="E1866" i="70" l="1"/>
  <c r="D1871" i="70"/>
  <c r="E1871" i="70" s="1"/>
  <c r="E1872" i="70" s="1"/>
  <c r="E1826" i="70"/>
  <c r="D1831" i="70" s="1"/>
  <c r="E1831" i="70" s="1"/>
  <c r="E1832" i="70" s="1"/>
  <c r="E1846" i="70"/>
  <c r="D1851" i="70" s="1"/>
  <c r="E1851" i="70" s="1"/>
  <c r="E1852" i="70" s="1"/>
  <c r="D1856" i="70" s="1"/>
  <c r="E1803" i="70"/>
  <c r="D1808" i="70" s="1"/>
  <c r="E1808" i="70" s="1"/>
  <c r="E1809" i="70" s="1"/>
  <c r="D1813" i="70" s="1"/>
  <c r="D1876" i="70" l="1"/>
  <c r="B1872" i="70" s="1"/>
  <c r="B1849" i="70"/>
  <c r="B1846" i="70"/>
  <c r="B1855" i="70"/>
  <c r="B1852" i="70"/>
  <c r="D1836" i="70"/>
  <c r="B1832" i="70" s="1"/>
  <c r="B1803" i="70"/>
  <c r="B1806" i="70"/>
  <c r="B1812" i="70"/>
  <c r="B1809" i="70"/>
  <c r="B1866" i="70" l="1"/>
  <c r="B1875" i="70"/>
  <c r="B1869" i="70"/>
  <c r="B1835" i="70"/>
  <c r="B1826" i="70"/>
  <c r="B1829" i="70"/>
  <c r="E1792" i="70" l="1"/>
  <c r="E1793" i="70" s="1"/>
  <c r="E1786" i="70"/>
  <c r="E1787" i="70" s="1"/>
  <c r="E1783" i="70"/>
  <c r="E1782" i="70"/>
  <c r="E1781" i="70"/>
  <c r="E1780" i="70"/>
  <c r="E1779" i="70"/>
  <c r="E1778" i="70"/>
  <c r="E1777" i="70"/>
  <c r="E1776" i="70"/>
  <c r="E1766" i="70"/>
  <c r="E1767" i="70" s="1"/>
  <c r="E1760" i="70"/>
  <c r="E1761" i="70" s="1"/>
  <c r="E1757" i="70"/>
  <c r="E1756" i="70"/>
  <c r="E1755" i="70"/>
  <c r="E1754" i="70"/>
  <c r="E1753" i="70"/>
  <c r="E1752" i="70"/>
  <c r="E1751" i="70"/>
  <c r="E1750" i="70"/>
  <c r="E1687" i="70"/>
  <c r="E1688" i="70"/>
  <c r="E1689" i="70"/>
  <c r="E1706" i="70"/>
  <c r="E1707" i="70" s="1"/>
  <c r="E1692" i="70"/>
  <c r="E1693" i="70" s="1"/>
  <c r="E1686" i="70"/>
  <c r="E1685" i="70"/>
  <c r="E1684" i="70"/>
  <c r="E1683" i="70"/>
  <c r="E1682" i="70"/>
  <c r="E1690" i="70" l="1"/>
  <c r="E1784" i="70"/>
  <c r="D1789" i="70" s="1"/>
  <c r="E1789" i="70" s="1"/>
  <c r="E1790" i="70" s="1"/>
  <c r="D1794" i="70" s="1"/>
  <c r="E1758" i="70"/>
  <c r="D1763" i="70" s="1"/>
  <c r="E1763" i="70" s="1"/>
  <c r="E1764" i="70" s="1"/>
  <c r="E1695" i="70"/>
  <c r="E1704" i="70" s="1"/>
  <c r="F137" i="53"/>
  <c r="F136" i="53"/>
  <c r="F135" i="53" s="1"/>
  <c r="F134" i="53"/>
  <c r="F133" i="53" s="1"/>
  <c r="F132" i="53"/>
  <c r="F131" i="53"/>
  <c r="F129" i="53"/>
  <c r="F128" i="53"/>
  <c r="F126" i="53"/>
  <c r="F125" i="53"/>
  <c r="F124" i="53"/>
  <c r="F123" i="53" s="1"/>
  <c r="F122" i="53"/>
  <c r="F120" i="53"/>
  <c r="F119" i="53"/>
  <c r="E1620" i="70"/>
  <c r="E1621" i="70" s="1"/>
  <c r="E1614" i="70"/>
  <c r="E1615" i="70" s="1"/>
  <c r="E1611" i="70"/>
  <c r="E1610" i="70"/>
  <c r="E1600" i="70"/>
  <c r="E1601" i="70" s="1"/>
  <c r="E1594" i="70"/>
  <c r="E1595" i="70" s="1"/>
  <c r="E1591" i="70"/>
  <c r="E1590" i="70"/>
  <c r="E1580" i="70"/>
  <c r="E1581" i="70" s="1"/>
  <c r="E1574" i="70"/>
  <c r="E1575" i="70" s="1"/>
  <c r="E1571" i="70"/>
  <c r="E1570" i="70"/>
  <c r="E1560" i="70"/>
  <c r="E1561" i="70" s="1"/>
  <c r="E1554" i="70"/>
  <c r="E1555" i="70" s="1"/>
  <c r="E1551" i="70"/>
  <c r="E1550" i="70"/>
  <c r="E1549" i="70"/>
  <c r="E1548" i="70"/>
  <c r="E1547" i="70"/>
  <c r="E1537" i="70"/>
  <c r="E1538" i="70" s="1"/>
  <c r="E1531" i="70"/>
  <c r="E1532" i="70" s="1"/>
  <c r="E1528" i="70"/>
  <c r="E1527" i="70"/>
  <c r="E1517" i="70"/>
  <c r="E1518" i="70" s="1"/>
  <c r="E1511" i="70"/>
  <c r="E1512" i="70" s="1"/>
  <c r="E1508" i="70"/>
  <c r="E1507" i="70"/>
  <c r="E1506" i="70"/>
  <c r="E1505" i="70"/>
  <c r="E1504" i="70"/>
  <c r="E1503" i="70"/>
  <c r="E1493" i="70"/>
  <c r="E1494" i="70" s="1"/>
  <c r="E1487" i="70"/>
  <c r="E1488" i="70" s="1"/>
  <c r="E1484" i="70"/>
  <c r="E1485" i="70" s="1"/>
  <c r="E1465" i="70"/>
  <c r="E1461" i="70"/>
  <c r="E1463" i="70"/>
  <c r="E1464" i="70"/>
  <c r="E1474" i="70"/>
  <c r="E1475" i="70" s="1"/>
  <c r="E1468" i="70"/>
  <c r="E1469" i="70" s="1"/>
  <c r="E1462" i="70"/>
  <c r="E1460" i="70"/>
  <c r="E1459" i="70"/>
  <c r="E1440" i="70"/>
  <c r="E1436" i="70"/>
  <c r="E1437" i="70"/>
  <c r="E1438" i="70"/>
  <c r="E1439" i="70"/>
  <c r="E1449" i="70"/>
  <c r="E1450" i="70" s="1"/>
  <c r="E1443" i="70"/>
  <c r="E1444" i="70" s="1"/>
  <c r="E1435" i="70"/>
  <c r="E1434" i="70"/>
  <c r="E1433" i="70"/>
  <c r="E1432" i="70"/>
  <c r="E1422" i="70"/>
  <c r="E1423" i="70" s="1"/>
  <c r="E1416" i="70"/>
  <c r="E1417" i="70" s="1"/>
  <c r="E1413" i="70"/>
  <c r="E1412" i="70"/>
  <c r="E1411" i="70"/>
  <c r="E1410" i="70"/>
  <c r="E1400" i="70"/>
  <c r="E1401" i="70" s="1"/>
  <c r="E1394" i="70"/>
  <c r="E1395" i="70" s="1"/>
  <c r="E1391" i="70"/>
  <c r="E1390" i="70"/>
  <c r="E1380" i="70"/>
  <c r="E1381" i="70" s="1"/>
  <c r="E1374" i="70"/>
  <c r="E1375" i="70" s="1"/>
  <c r="E1371" i="70"/>
  <c r="E1370" i="70"/>
  <c r="E1369" i="70"/>
  <c r="E1368" i="70"/>
  <c r="E1367" i="70"/>
  <c r="E1366" i="70"/>
  <c r="E1356" i="70"/>
  <c r="E1357" i="70" s="1"/>
  <c r="E1350" i="70"/>
  <c r="E1351" i="70" s="1"/>
  <c r="E1347" i="70"/>
  <c r="E1346" i="70"/>
  <c r="E1345" i="70"/>
  <c r="E1344" i="70"/>
  <c r="E1334" i="70"/>
  <c r="E1335" i="70" s="1"/>
  <c r="E1328" i="70"/>
  <c r="E1329" i="70" s="1"/>
  <c r="E1325" i="70"/>
  <c r="E1324" i="70"/>
  <c r="E1323" i="70"/>
  <c r="E1313" i="70"/>
  <c r="E1314" i="70" s="1"/>
  <c r="E1307" i="70"/>
  <c r="E1308" i="70" s="1"/>
  <c r="E1304" i="70"/>
  <c r="E1303" i="70"/>
  <c r="E1302" i="70"/>
  <c r="E1292" i="70"/>
  <c r="E1293" i="70" s="1"/>
  <c r="E1286" i="70"/>
  <c r="E1287" i="70" s="1"/>
  <c r="E1283" i="70"/>
  <c r="E1282" i="70"/>
  <c r="E1272" i="70"/>
  <c r="E1271" i="70"/>
  <c r="E1265" i="70"/>
  <c r="E1266" i="70" s="1"/>
  <c r="E1262" i="70"/>
  <c r="E1261" i="70"/>
  <c r="E1251" i="70"/>
  <c r="E1250" i="70"/>
  <c r="E1244" i="70"/>
  <c r="E1245" i="70" s="1"/>
  <c r="E1241" i="70"/>
  <c r="E1240" i="70"/>
  <c r="E1220" i="70"/>
  <c r="E1221" i="70"/>
  <c r="E1230" i="70"/>
  <c r="E1231" i="70" s="1"/>
  <c r="E1224" i="70"/>
  <c r="E1225" i="70" s="1"/>
  <c r="E1219" i="70"/>
  <c r="E1218" i="70"/>
  <c r="E1217" i="70"/>
  <c r="E1216" i="70"/>
  <c r="E1206" i="70"/>
  <c r="E1207" i="70" s="1"/>
  <c r="E1200" i="70"/>
  <c r="E1201" i="70" s="1"/>
  <c r="E1197" i="70"/>
  <c r="E1196" i="70"/>
  <c r="E1195" i="70"/>
  <c r="E1194" i="70"/>
  <c r="E1184" i="70"/>
  <c r="E1185" i="70" s="1"/>
  <c r="E1178" i="70"/>
  <c r="E1179" i="70" s="1"/>
  <c r="E1175" i="70"/>
  <c r="E1174" i="70"/>
  <c r="E1173" i="70"/>
  <c r="E1172" i="70"/>
  <c r="E1162" i="70"/>
  <c r="E1163" i="70" s="1"/>
  <c r="E1156" i="70"/>
  <c r="E1157" i="70" s="1"/>
  <c r="E1153" i="70"/>
  <c r="E1152" i="70"/>
  <c r="E1151" i="70"/>
  <c r="E1150" i="70"/>
  <c r="E1131" i="70"/>
  <c r="E1140" i="70"/>
  <c r="E1141" i="70" s="1"/>
  <c r="E1134" i="70"/>
  <c r="E1135" i="70" s="1"/>
  <c r="E1130" i="70"/>
  <c r="E1129" i="70"/>
  <c r="E1128" i="70"/>
  <c r="E1118" i="70"/>
  <c r="E1119" i="70" s="1"/>
  <c r="E1112" i="70"/>
  <c r="E1113" i="70" s="1"/>
  <c r="E1109" i="70"/>
  <c r="E1108" i="70"/>
  <c r="E1107" i="70"/>
  <c r="E1097" i="70"/>
  <c r="E1098" i="70" s="1"/>
  <c r="E1091" i="70"/>
  <c r="E1092" i="70" s="1"/>
  <c r="E1088" i="70"/>
  <c r="E1087" i="70"/>
  <c r="E1086" i="70"/>
  <c r="E1076" i="70"/>
  <c r="E1077" i="70" s="1"/>
  <c r="E1070" i="70"/>
  <c r="E1071" i="70" s="1"/>
  <c r="E1067" i="70"/>
  <c r="E1066" i="70"/>
  <c r="E1065" i="70"/>
  <c r="E1055" i="70"/>
  <c r="E1056" i="70" s="1"/>
  <c r="E1049" i="70"/>
  <c r="E1050" i="70" s="1"/>
  <c r="E1046" i="70"/>
  <c r="E1045" i="70"/>
  <c r="E1044" i="70"/>
  <c r="E976" i="70"/>
  <c r="E977" i="70"/>
  <c r="E978" i="70"/>
  <c r="E979" i="70"/>
  <c r="E980" i="70"/>
  <c r="E981" i="70"/>
  <c r="E982" i="70"/>
  <c r="E983" i="70"/>
  <c r="E973" i="70"/>
  <c r="E974" i="70"/>
  <c r="E975" i="70"/>
  <c r="E992" i="70"/>
  <c r="E993" i="70" s="1"/>
  <c r="E986" i="70"/>
  <c r="E987" i="70" s="1"/>
  <c r="E972" i="70"/>
  <c r="E924" i="70"/>
  <c r="E925" i="70" s="1"/>
  <c r="E918" i="70"/>
  <c r="E919" i="70" s="1"/>
  <c r="E915" i="70"/>
  <c r="E914" i="70"/>
  <c r="E904" i="70"/>
  <c r="E905" i="70" s="1"/>
  <c r="E898" i="70"/>
  <c r="E899" i="70" s="1"/>
  <c r="E895" i="70"/>
  <c r="E894" i="70"/>
  <c r="E884" i="70"/>
  <c r="E885" i="70" s="1"/>
  <c r="E878" i="70"/>
  <c r="E879" i="70" s="1"/>
  <c r="E875" i="70"/>
  <c r="E874" i="70"/>
  <c r="E873" i="70"/>
  <c r="E863" i="70"/>
  <c r="E864" i="70" s="1"/>
  <c r="E857" i="70"/>
  <c r="E858" i="70" s="1"/>
  <c r="E854" i="70"/>
  <c r="E853" i="70"/>
  <c r="E852" i="70"/>
  <c r="E842" i="70"/>
  <c r="E843" i="70" s="1"/>
  <c r="E836" i="70"/>
  <c r="E837" i="70" s="1"/>
  <c r="E833" i="70"/>
  <c r="E813" i="70"/>
  <c r="E814" i="70"/>
  <c r="E823" i="70"/>
  <c r="E824" i="70" s="1"/>
  <c r="E817" i="70"/>
  <c r="E818" i="70" s="1"/>
  <c r="E812" i="70"/>
  <c r="E802" i="70"/>
  <c r="E803" i="70" s="1"/>
  <c r="E796" i="70"/>
  <c r="E797" i="70" s="1"/>
  <c r="E793" i="70"/>
  <c r="E794" i="70" s="1"/>
  <c r="E764" i="70"/>
  <c r="E765" i="70" s="1"/>
  <c r="E758" i="70"/>
  <c r="E759" i="70" s="1"/>
  <c r="E755" i="70"/>
  <c r="E754" i="70"/>
  <c r="E744" i="70"/>
  <c r="E745" i="70" s="1"/>
  <c r="E738" i="70"/>
  <c r="E739" i="70" s="1"/>
  <c r="E735" i="70"/>
  <c r="E734" i="70"/>
  <c r="E733" i="70"/>
  <c r="E732" i="70"/>
  <c r="E699" i="70"/>
  <c r="E700" i="70" s="1"/>
  <c r="E693" i="70"/>
  <c r="E694" i="70" s="1"/>
  <c r="E690" i="70"/>
  <c r="E689" i="70"/>
  <c r="E688" i="70"/>
  <c r="E687" i="70"/>
  <c r="E686" i="70"/>
  <c r="E685" i="70"/>
  <c r="E661" i="70"/>
  <c r="E662" i="70"/>
  <c r="E663" i="70"/>
  <c r="E664" i="70"/>
  <c r="E665" i="70"/>
  <c r="E666" i="70"/>
  <c r="E675" i="70"/>
  <c r="E676" i="70" s="1"/>
  <c r="E669" i="70"/>
  <c r="E670" i="70" s="1"/>
  <c r="E660" i="70"/>
  <c r="E631" i="70"/>
  <c r="E632" i="70" s="1"/>
  <c r="E625" i="70"/>
  <c r="E626" i="70" s="1"/>
  <c r="E622" i="70"/>
  <c r="E621" i="70"/>
  <c r="E620" i="70"/>
  <c r="E610" i="70"/>
  <c r="E611" i="70" s="1"/>
  <c r="E604" i="70"/>
  <c r="E605" i="70" s="1"/>
  <c r="E601" i="70"/>
  <c r="E600" i="70"/>
  <c r="E599" i="70"/>
  <c r="E556" i="70"/>
  <c r="E557" i="70"/>
  <c r="F127" i="53" l="1"/>
  <c r="F130" i="53"/>
  <c r="E1572" i="70"/>
  <c r="D1708" i="70"/>
  <c r="E1612" i="70"/>
  <c r="D1617" i="70" s="1"/>
  <c r="E1617" i="70" s="1"/>
  <c r="E1618" i="70" s="1"/>
  <c r="D1622" i="70" s="1"/>
  <c r="B1787" i="70"/>
  <c r="B1784" i="70"/>
  <c r="B1793" i="70"/>
  <c r="B1790" i="70"/>
  <c r="D1768" i="70"/>
  <c r="E1592" i="70"/>
  <c r="D1597" i="70" s="1"/>
  <c r="E1597" i="70" s="1"/>
  <c r="E1598" i="70" s="1"/>
  <c r="D1602" i="70" s="1"/>
  <c r="B1592" i="70" s="1"/>
  <c r="D1577" i="70"/>
  <c r="E1577" i="70" s="1"/>
  <c r="E1578" i="70" s="1"/>
  <c r="E1552" i="70"/>
  <c r="D1557" i="70" s="1"/>
  <c r="E1557" i="70" s="1"/>
  <c r="E1558" i="70" s="1"/>
  <c r="D1562" i="70" s="1"/>
  <c r="E1529" i="70"/>
  <c r="D1534" i="70" s="1"/>
  <c r="E1534" i="70" s="1"/>
  <c r="E1535" i="70" s="1"/>
  <c r="E1509" i="70"/>
  <c r="D1514" i="70" s="1"/>
  <c r="E1514" i="70" s="1"/>
  <c r="E1515" i="70" s="1"/>
  <c r="D1519" i="70" s="1"/>
  <c r="D1490" i="70"/>
  <c r="E1490" i="70" s="1"/>
  <c r="E1491" i="70" s="1"/>
  <c r="D1495" i="70" s="1"/>
  <c r="E1466" i="70"/>
  <c r="D1471" i="70" s="1"/>
  <c r="E1471" i="70" s="1"/>
  <c r="E1472" i="70" s="1"/>
  <c r="D1476" i="70" s="1"/>
  <c r="E1441" i="70"/>
  <c r="D1446" i="70" s="1"/>
  <c r="E1446" i="70" s="1"/>
  <c r="E1447" i="70" s="1"/>
  <c r="D1451" i="70" s="1"/>
  <c r="E1284" i="70"/>
  <c r="E1242" i="70"/>
  <c r="E1414" i="70"/>
  <c r="D1419" i="70" s="1"/>
  <c r="E1419" i="70" s="1"/>
  <c r="E1420" i="70" s="1"/>
  <c r="D1424" i="70" s="1"/>
  <c r="B1417" i="70" s="1"/>
  <c r="E1392" i="70"/>
  <c r="D1397" i="70" s="1"/>
  <c r="E1397" i="70" s="1"/>
  <c r="E1398" i="70" s="1"/>
  <c r="D1402" i="70" s="1"/>
  <c r="B1395" i="70" s="1"/>
  <c r="E1252" i="70"/>
  <c r="E1372" i="70"/>
  <c r="D1377" i="70" s="1"/>
  <c r="E1377" i="70" s="1"/>
  <c r="E1378" i="70" s="1"/>
  <c r="D1382" i="70" s="1"/>
  <c r="B1381" i="70" s="1"/>
  <c r="E1348" i="70"/>
  <c r="D1353" i="70" s="1"/>
  <c r="E1353" i="70" s="1"/>
  <c r="E1354" i="70" s="1"/>
  <c r="D1358" i="70" s="1"/>
  <c r="B1351" i="70" s="1"/>
  <c r="E1326" i="70"/>
  <c r="D1331" i="70" s="1"/>
  <c r="E1331" i="70" s="1"/>
  <c r="E1332" i="70" s="1"/>
  <c r="D1336" i="70" s="1"/>
  <c r="B1329" i="70" s="1"/>
  <c r="E1305" i="70"/>
  <c r="D1310" i="70" s="1"/>
  <c r="E1310" i="70" s="1"/>
  <c r="E1311" i="70" s="1"/>
  <c r="D1315" i="70" s="1"/>
  <c r="B1308" i="70" s="1"/>
  <c r="D1289" i="70"/>
  <c r="E1289" i="70" s="1"/>
  <c r="E1290" i="70" s="1"/>
  <c r="E1273" i="70"/>
  <c r="E1263" i="70"/>
  <c r="D1268" i="70"/>
  <c r="E1268" i="70" s="1"/>
  <c r="E1269" i="70" s="1"/>
  <c r="D1247" i="70"/>
  <c r="E1247" i="70" s="1"/>
  <c r="E1248" i="70" s="1"/>
  <c r="E1222" i="70"/>
  <c r="D1227" i="70" s="1"/>
  <c r="E1227" i="70" s="1"/>
  <c r="E1228" i="70" s="1"/>
  <c r="D1232" i="70" s="1"/>
  <c r="B1225" i="70" s="1"/>
  <c r="E1198" i="70"/>
  <c r="D1203" i="70" s="1"/>
  <c r="E1203" i="70" s="1"/>
  <c r="E1204" i="70" s="1"/>
  <c r="D1208" i="70" s="1"/>
  <c r="B1201" i="70" s="1"/>
  <c r="E1176" i="70"/>
  <c r="D1181" i="70" s="1"/>
  <c r="E1181" i="70" s="1"/>
  <c r="E1182" i="70" s="1"/>
  <c r="D1186" i="70" s="1"/>
  <c r="B1179" i="70" s="1"/>
  <c r="E1154" i="70"/>
  <c r="D1159" i="70" s="1"/>
  <c r="E1159" i="70" s="1"/>
  <c r="E1160" i="70" s="1"/>
  <c r="D1164" i="70" s="1"/>
  <c r="B1163" i="70" s="1"/>
  <c r="E1132" i="70"/>
  <c r="D1137" i="70" s="1"/>
  <c r="E1137" i="70" s="1"/>
  <c r="E1138" i="70" s="1"/>
  <c r="D1142" i="70" s="1"/>
  <c r="B1135" i="70" s="1"/>
  <c r="E1110" i="70"/>
  <c r="D1115" i="70" s="1"/>
  <c r="E1115" i="70" s="1"/>
  <c r="E1116" i="70" s="1"/>
  <c r="D1120" i="70" s="1"/>
  <c r="B1113" i="70" s="1"/>
  <c r="E1089" i="70"/>
  <c r="D1094" i="70" s="1"/>
  <c r="E1094" i="70" s="1"/>
  <c r="E1095" i="70" s="1"/>
  <c r="D1099" i="70" s="1"/>
  <c r="B1092" i="70" s="1"/>
  <c r="E1068" i="70"/>
  <c r="D1073" i="70" s="1"/>
  <c r="E1073" i="70" s="1"/>
  <c r="E1074" i="70" s="1"/>
  <c r="D1078" i="70" s="1"/>
  <c r="B1071" i="70" s="1"/>
  <c r="E1047" i="70"/>
  <c r="D1052" i="70" s="1"/>
  <c r="E1052" i="70" s="1"/>
  <c r="E1053" i="70" s="1"/>
  <c r="D1057" i="70" s="1"/>
  <c r="B1050" i="70" s="1"/>
  <c r="E984" i="70"/>
  <c r="D989" i="70" s="1"/>
  <c r="E989" i="70" s="1"/>
  <c r="E990" i="70" s="1"/>
  <c r="D994" i="70" s="1"/>
  <c r="E916" i="70"/>
  <c r="D921" i="70" s="1"/>
  <c r="E921" i="70" s="1"/>
  <c r="E922" i="70" s="1"/>
  <c r="D926" i="70" s="1"/>
  <c r="B919" i="70" s="1"/>
  <c r="E896" i="70"/>
  <c r="D901" i="70" s="1"/>
  <c r="E901" i="70" s="1"/>
  <c r="E902" i="70" s="1"/>
  <c r="D906" i="70" s="1"/>
  <c r="B899" i="70" s="1"/>
  <c r="E876" i="70"/>
  <c r="D881" i="70" s="1"/>
  <c r="E881" i="70" s="1"/>
  <c r="E882" i="70" s="1"/>
  <c r="D886" i="70" s="1"/>
  <c r="B879" i="70" s="1"/>
  <c r="E855" i="70"/>
  <c r="D860" i="70" s="1"/>
  <c r="E860" i="70" s="1"/>
  <c r="E861" i="70" s="1"/>
  <c r="D865" i="70" s="1"/>
  <c r="B858" i="70" s="1"/>
  <c r="E834" i="70"/>
  <c r="D839" i="70" s="1"/>
  <c r="E839" i="70" s="1"/>
  <c r="E840" i="70" s="1"/>
  <c r="D844" i="70" s="1"/>
  <c r="B837" i="70" s="1"/>
  <c r="E815" i="70"/>
  <c r="D820" i="70" s="1"/>
  <c r="E820" i="70" s="1"/>
  <c r="E821" i="70" s="1"/>
  <c r="D825" i="70" s="1"/>
  <c r="D799" i="70"/>
  <c r="E799" i="70" s="1"/>
  <c r="E800" i="70" s="1"/>
  <c r="D804" i="70" s="1"/>
  <c r="E756" i="70"/>
  <c r="D761" i="70" s="1"/>
  <c r="E761" i="70" s="1"/>
  <c r="E762" i="70" s="1"/>
  <c r="D766" i="70" s="1"/>
  <c r="B759" i="70" s="1"/>
  <c r="E736" i="70"/>
  <c r="D741" i="70" s="1"/>
  <c r="E741" i="70" s="1"/>
  <c r="E742" i="70" s="1"/>
  <c r="D746" i="70" s="1"/>
  <c r="E691" i="70"/>
  <c r="D696" i="70" s="1"/>
  <c r="E696" i="70" s="1"/>
  <c r="E697" i="70" s="1"/>
  <c r="D701" i="70" s="1"/>
  <c r="E667" i="70"/>
  <c r="D672" i="70" s="1"/>
  <c r="E672" i="70" s="1"/>
  <c r="E673" i="70" s="1"/>
  <c r="D677" i="70" s="1"/>
  <c r="E623" i="70"/>
  <c r="D628" i="70" s="1"/>
  <c r="E628" i="70" s="1"/>
  <c r="E629" i="70" s="1"/>
  <c r="D633" i="70" s="1"/>
  <c r="B626" i="70" s="1"/>
  <c r="E602" i="70"/>
  <c r="D607" i="70" s="1"/>
  <c r="E607" i="70" s="1"/>
  <c r="E608" i="70" s="1"/>
  <c r="D612" i="70" s="1"/>
  <c r="B602" i="70" s="1"/>
  <c r="B1704" i="70" l="1"/>
  <c r="E121" i="53"/>
  <c r="F121" i="53" s="1"/>
  <c r="F118" i="53" s="1"/>
  <c r="F117" i="53" s="1"/>
  <c r="B1693" i="70"/>
  <c r="B1707" i="70"/>
  <c r="B1767" i="70"/>
  <c r="B1758" i="70"/>
  <c r="B1761" i="70"/>
  <c r="B1764" i="70"/>
  <c r="B1612" i="70"/>
  <c r="B1615" i="70"/>
  <c r="B1621" i="70"/>
  <c r="B1618" i="70"/>
  <c r="B1601" i="70"/>
  <c r="B1598" i="70"/>
  <c r="B1595" i="70"/>
  <c r="D1582" i="70"/>
  <c r="B1578" i="70" s="1"/>
  <c r="B1555" i="70"/>
  <c r="B1552" i="70"/>
  <c r="B1561" i="70"/>
  <c r="B1558" i="70"/>
  <c r="D1294" i="70"/>
  <c r="B1284" i="70" s="1"/>
  <c r="D1539" i="70"/>
  <c r="B1529" i="70" s="1"/>
  <c r="B1509" i="70"/>
  <c r="B1518" i="70"/>
  <c r="B1512" i="70"/>
  <c r="B1515" i="70"/>
  <c r="B1488" i="70"/>
  <c r="B1485" i="70"/>
  <c r="B1494" i="70"/>
  <c r="B1491" i="70"/>
  <c r="B1466" i="70"/>
  <c r="B1475" i="70"/>
  <c r="B1469" i="70"/>
  <c r="B1472" i="70"/>
  <c r="B1450" i="70"/>
  <c r="B1441" i="70"/>
  <c r="B1444" i="70"/>
  <c r="B1447" i="70"/>
  <c r="B1420" i="70"/>
  <c r="B1414" i="70"/>
  <c r="B1423" i="70"/>
  <c r="B1398" i="70"/>
  <c r="B1392" i="70"/>
  <c r="B1401" i="70"/>
  <c r="B1375" i="70"/>
  <c r="B1372" i="70"/>
  <c r="B1378" i="70"/>
  <c r="B1354" i="70"/>
  <c r="B1348" i="70"/>
  <c r="B1357" i="70"/>
  <c r="B1332" i="70"/>
  <c r="B1326" i="70"/>
  <c r="B1335" i="70"/>
  <c r="B1311" i="70"/>
  <c r="B1305" i="70"/>
  <c r="B1314" i="70"/>
  <c r="D1274" i="70"/>
  <c r="B1273" i="70" s="1"/>
  <c r="D1253" i="70"/>
  <c r="B1222" i="70"/>
  <c r="B1228" i="70"/>
  <c r="B1231" i="70"/>
  <c r="B1204" i="70"/>
  <c r="B1198" i="70"/>
  <c r="B1207" i="70"/>
  <c r="B1182" i="70"/>
  <c r="B1176" i="70"/>
  <c r="B1185" i="70"/>
  <c r="B1157" i="70"/>
  <c r="B1154" i="70"/>
  <c r="B1160" i="70"/>
  <c r="B1138" i="70"/>
  <c r="B1132" i="70"/>
  <c r="B1141" i="70"/>
  <c r="B1110" i="70"/>
  <c r="B1116" i="70"/>
  <c r="B1119" i="70"/>
  <c r="B1095" i="70"/>
  <c r="B1089" i="70"/>
  <c r="B1098" i="70"/>
  <c r="B1068" i="70"/>
  <c r="B1074" i="70"/>
  <c r="B1077" i="70"/>
  <c r="B1047" i="70"/>
  <c r="B1053" i="70"/>
  <c r="B1056" i="70"/>
  <c r="B984" i="70"/>
  <c r="B993" i="70"/>
  <c r="B987" i="70"/>
  <c r="B990" i="70"/>
  <c r="B925" i="70"/>
  <c r="B916" i="70"/>
  <c r="B922" i="70"/>
  <c r="B896" i="70"/>
  <c r="B902" i="70"/>
  <c r="B905" i="70"/>
  <c r="B882" i="70"/>
  <c r="B876" i="70"/>
  <c r="B885" i="70"/>
  <c r="B861" i="70"/>
  <c r="B855" i="70"/>
  <c r="B864" i="70"/>
  <c r="B834" i="70"/>
  <c r="B840" i="70"/>
  <c r="B843" i="70"/>
  <c r="B815" i="70"/>
  <c r="B824" i="70"/>
  <c r="B818" i="70"/>
  <c r="B821" i="70"/>
  <c r="B794" i="70"/>
  <c r="B797" i="70"/>
  <c r="B803" i="70"/>
  <c r="B800" i="70"/>
  <c r="B762" i="70"/>
  <c r="B756" i="70"/>
  <c r="B765" i="70"/>
  <c r="B739" i="70"/>
  <c r="B745" i="70"/>
  <c r="B736" i="70"/>
  <c r="B742" i="70"/>
  <c r="B691" i="70"/>
  <c r="B700" i="70"/>
  <c r="B697" i="70"/>
  <c r="B694" i="70"/>
  <c r="B670" i="70"/>
  <c r="B676" i="70"/>
  <c r="B667" i="70"/>
  <c r="B673" i="70"/>
  <c r="B629" i="70"/>
  <c r="B623" i="70"/>
  <c r="B632" i="70"/>
  <c r="B605" i="70"/>
  <c r="B608" i="70"/>
  <c r="B611" i="70"/>
  <c r="B1581" i="70" l="1"/>
  <c r="B1572" i="70"/>
  <c r="B1575" i="70"/>
  <c r="B1293" i="70"/>
  <c r="B1287" i="70"/>
  <c r="B1290" i="70"/>
  <c r="B1532" i="70"/>
  <c r="B1538" i="70"/>
  <c r="B1535" i="70"/>
  <c r="B1269" i="70"/>
  <c r="B1266" i="70"/>
  <c r="B1263" i="70"/>
  <c r="B1242" i="70"/>
  <c r="B1245" i="70"/>
  <c r="B1252" i="70"/>
  <c r="B1248" i="70"/>
  <c r="E568" i="70" l="1"/>
  <c r="E569" i="70" s="1"/>
  <c r="E565" i="70"/>
  <c r="E564" i="70"/>
  <c r="E560" i="70"/>
  <c r="E561" i="70" s="1"/>
  <c r="E555" i="70"/>
  <c r="E558" i="70" s="1"/>
  <c r="E533" i="70"/>
  <c r="E534" i="70"/>
  <c r="E545" i="70"/>
  <c r="E546" i="70" s="1"/>
  <c r="E542" i="70"/>
  <c r="E541" i="70"/>
  <c r="E537" i="70"/>
  <c r="E538" i="70" s="1"/>
  <c r="E532" i="70"/>
  <c r="E531" i="70"/>
  <c r="E458" i="70"/>
  <c r="E459" i="70" s="1"/>
  <c r="E452" i="70"/>
  <c r="E453" i="70" s="1"/>
  <c r="E449" i="70"/>
  <c r="E448" i="70"/>
  <c r="E447" i="70"/>
  <c r="E468" i="70"/>
  <c r="E469" i="70"/>
  <c r="E472" i="70"/>
  <c r="E473" i="70" s="1"/>
  <c r="E478" i="70"/>
  <c r="E479" i="70" s="1"/>
  <c r="E437" i="70"/>
  <c r="E438" i="70" s="1"/>
  <c r="E431" i="70"/>
  <c r="E432" i="70" s="1"/>
  <c r="E428" i="70"/>
  <c r="E427" i="70"/>
  <c r="E426" i="70"/>
  <c r="E376" i="70"/>
  <c r="E377" i="70" s="1"/>
  <c r="E370" i="70"/>
  <c r="E371" i="70" s="1"/>
  <c r="E367" i="70"/>
  <c r="E366" i="70"/>
  <c r="E365" i="70"/>
  <c r="E364" i="70"/>
  <c r="E363" i="70"/>
  <c r="E362" i="70"/>
  <c r="E258" i="70"/>
  <c r="E259" i="70" s="1"/>
  <c r="E252" i="70"/>
  <c r="E253" i="70" s="1"/>
  <c r="E249" i="70"/>
  <c r="E248" i="70"/>
  <c r="E247" i="70"/>
  <c r="E246" i="70"/>
  <c r="E245" i="70"/>
  <c r="E244" i="70"/>
  <c r="E268" i="70"/>
  <c r="E269" i="70"/>
  <c r="E270" i="70"/>
  <c r="E271" i="70"/>
  <c r="E272" i="70"/>
  <c r="E273" i="70"/>
  <c r="E276" i="70"/>
  <c r="E277" i="70" s="1"/>
  <c r="E282" i="70"/>
  <c r="E82" i="70"/>
  <c r="E83" i="70" s="1"/>
  <c r="E79" i="70"/>
  <c r="E75" i="70"/>
  <c r="E76" i="70" s="1"/>
  <c r="E72" i="70"/>
  <c r="E71" i="70"/>
  <c r="F110" i="53"/>
  <c r="F111" i="53"/>
  <c r="F112" i="53"/>
  <c r="F113" i="53"/>
  <c r="F114" i="53"/>
  <c r="F115" i="53"/>
  <c r="F109" i="53"/>
  <c r="D48" i="53"/>
  <c r="F48" i="53" s="1"/>
  <c r="D107" i="53"/>
  <c r="F107" i="53" s="1"/>
  <c r="F106" i="53"/>
  <c r="F108" i="53" l="1"/>
  <c r="E470" i="70"/>
  <c r="D475" i="70" s="1"/>
  <c r="E475" i="70" s="1"/>
  <c r="E476" i="70" s="1"/>
  <c r="D480" i="70" s="1"/>
  <c r="B473" i="70" s="1"/>
  <c r="D563" i="70"/>
  <c r="E563" i="70" s="1"/>
  <c r="E566" i="70" s="1"/>
  <c r="D570" i="70" s="1"/>
  <c r="E535" i="70"/>
  <c r="D540" i="70" s="1"/>
  <c r="E540" i="70" s="1"/>
  <c r="E543" i="70" s="1"/>
  <c r="E450" i="70"/>
  <c r="D455" i="70" s="1"/>
  <c r="E455" i="70" s="1"/>
  <c r="E456" i="70" s="1"/>
  <c r="D460" i="70" s="1"/>
  <c r="B453" i="70" s="1"/>
  <c r="E368" i="70"/>
  <c r="D373" i="70" s="1"/>
  <c r="E373" i="70" s="1"/>
  <c r="E374" i="70" s="1"/>
  <c r="E429" i="70"/>
  <c r="D434" i="70" s="1"/>
  <c r="E434" i="70" s="1"/>
  <c r="E435" i="70" s="1"/>
  <c r="E274" i="70"/>
  <c r="D279" i="70" s="1"/>
  <c r="E279" i="70" s="1"/>
  <c r="E280" i="70" s="1"/>
  <c r="E250" i="70"/>
  <c r="D255" i="70" s="1"/>
  <c r="E255" i="70" s="1"/>
  <c r="E256" i="70" s="1"/>
  <c r="E73" i="70"/>
  <c r="D78" i="70"/>
  <c r="E78" i="70" s="1"/>
  <c r="E80" i="70" s="1"/>
  <c r="B561" i="70" l="1"/>
  <c r="B558" i="70"/>
  <c r="B569" i="70"/>
  <c r="B566" i="70"/>
  <c r="D547" i="70"/>
  <c r="B456" i="70"/>
  <c r="B450" i="70"/>
  <c r="B459" i="70"/>
  <c r="B479" i="70"/>
  <c r="B476" i="70"/>
  <c r="B470" i="70"/>
  <c r="D84" i="70"/>
  <c r="B73" i="70" s="1"/>
  <c r="D439" i="70"/>
  <c r="D378" i="70"/>
  <c r="D260" i="70"/>
  <c r="B256" i="70" s="1"/>
  <c r="F26" i="53"/>
  <c r="F21" i="53"/>
  <c r="B76" i="70" l="1"/>
  <c r="B538" i="70"/>
  <c r="B535" i="70"/>
  <c r="B546" i="70"/>
  <c r="B543" i="70"/>
  <c r="B80" i="70"/>
  <c r="B83" i="70"/>
  <c r="B432" i="70"/>
  <c r="B438" i="70"/>
  <c r="B429" i="70"/>
  <c r="B435" i="70"/>
  <c r="B371" i="70"/>
  <c r="B377" i="70"/>
  <c r="B368" i="70"/>
  <c r="B374" i="70"/>
  <c r="B253" i="70"/>
  <c r="B259" i="70"/>
  <c r="B250" i="70"/>
  <c r="F97" i="53" l="1"/>
  <c r="F78" i="53" l="1"/>
  <c r="F79" i="53"/>
  <c r="F80" i="53"/>
  <c r="F81" i="53"/>
  <c r="F82" i="53"/>
  <c r="F83" i="53"/>
  <c r="F84" i="53"/>
  <c r="F85" i="53"/>
  <c r="F86" i="53"/>
  <c r="F87" i="53"/>
  <c r="F88" i="53"/>
  <c r="F89" i="53"/>
  <c r="F90" i="53"/>
  <c r="F77" i="53"/>
  <c r="F93" i="53"/>
  <c r="F94" i="53"/>
  <c r="F95" i="53"/>
  <c r="F96" i="53"/>
  <c r="F92" i="53"/>
  <c r="F76" i="53" l="1"/>
  <c r="F91" i="53"/>
  <c r="F75" i="53" s="1"/>
  <c r="F74" i="53"/>
  <c r="F71" i="53"/>
  <c r="F70" i="53"/>
  <c r="F69" i="53"/>
  <c r="F68" i="53"/>
  <c r="D65" i="53"/>
  <c r="F64" i="53" l="1"/>
  <c r="F65" i="53"/>
  <c r="F66" i="53"/>
  <c r="F67" i="53"/>
  <c r="D72" i="53" l="1"/>
  <c r="D73" i="53"/>
  <c r="D40" i="53" l="1"/>
  <c r="D39" i="53"/>
  <c r="D38" i="53"/>
  <c r="D37" i="53"/>
  <c r="D36" i="53"/>
  <c r="F32" i="53"/>
  <c r="F31" i="53"/>
  <c r="D47" i="53" l="1"/>
  <c r="F47" i="53" s="1"/>
  <c r="D45" i="53"/>
  <c r="F45" i="53" s="1"/>
  <c r="D44" i="53"/>
  <c r="F44" i="53" s="1"/>
  <c r="D43" i="53"/>
  <c r="D41" i="53"/>
  <c r="F41" i="53" l="1"/>
  <c r="F40" i="53"/>
  <c r="F38" i="53" l="1"/>
  <c r="F37" i="53"/>
  <c r="F11" i="53" l="1"/>
  <c r="D15" i="53" l="1"/>
  <c r="D13" i="53"/>
  <c r="D10" i="53"/>
  <c r="E1034" i="70" l="1"/>
  <c r="E1035" i="70" s="1"/>
  <c r="E1028" i="70"/>
  <c r="E1029" i="70" s="1"/>
  <c r="E1025" i="70"/>
  <c r="E1024" i="70"/>
  <c r="E1023" i="70"/>
  <c r="E1003" i="70"/>
  <c r="E1004" i="70"/>
  <c r="E1013" i="70"/>
  <c r="E1014" i="70" s="1"/>
  <c r="E1007" i="70"/>
  <c r="E1008" i="70" s="1"/>
  <c r="E1002" i="70"/>
  <c r="E962" i="70"/>
  <c r="E963" i="70" s="1"/>
  <c r="E956" i="70"/>
  <c r="E957" i="70" s="1"/>
  <c r="E953" i="70"/>
  <c r="E954" i="70" s="1"/>
  <c r="E1026" i="70" l="1"/>
  <c r="D1031" i="70" s="1"/>
  <c r="E1031" i="70" s="1"/>
  <c r="E1032" i="70" s="1"/>
  <c r="D1036" i="70" s="1"/>
  <c r="E1005" i="70"/>
  <c r="D1010" i="70" s="1"/>
  <c r="E1010" i="70" s="1"/>
  <c r="E1011" i="70" s="1"/>
  <c r="D1015" i="70" s="1"/>
  <c r="D959" i="70"/>
  <c r="E959" i="70" s="1"/>
  <c r="E960" i="70" s="1"/>
  <c r="D964" i="70" s="1"/>
  <c r="B963" i="70" s="1"/>
  <c r="B1029" i="70" l="1"/>
  <c r="B1035" i="70"/>
  <c r="B1026" i="70"/>
  <c r="B1032" i="70"/>
  <c r="B1005" i="70"/>
  <c r="B1014" i="70"/>
  <c r="B1008" i="70"/>
  <c r="B1011" i="70"/>
  <c r="B957" i="70"/>
  <c r="B954" i="70"/>
  <c r="B960" i="70"/>
  <c r="E943" i="70" l="1"/>
  <c r="E944" i="70" s="1"/>
  <c r="E937" i="70"/>
  <c r="E938" i="70" s="1"/>
  <c r="E934" i="70"/>
  <c r="E935" i="70" s="1"/>
  <c r="E783" i="70"/>
  <c r="E784" i="70" s="1"/>
  <c r="E777" i="70"/>
  <c r="E778" i="70" s="1"/>
  <c r="E774" i="70"/>
  <c r="E775" i="70" s="1"/>
  <c r="D940" i="70" l="1"/>
  <c r="E940" i="70" s="1"/>
  <c r="E941" i="70" s="1"/>
  <c r="D945" i="70" s="1"/>
  <c r="D780" i="70"/>
  <c r="E780" i="70" s="1"/>
  <c r="E781" i="70" s="1"/>
  <c r="D785" i="70" s="1"/>
  <c r="E650" i="70"/>
  <c r="E651" i="70" s="1"/>
  <c r="E644" i="70"/>
  <c r="E645" i="70" s="1"/>
  <c r="E641" i="70"/>
  <c r="E642" i="70" s="1"/>
  <c r="E589" i="70"/>
  <c r="E590" i="70" s="1"/>
  <c r="E583" i="70"/>
  <c r="E584" i="70" s="1"/>
  <c r="E580" i="70"/>
  <c r="E579" i="70"/>
  <c r="E578" i="70"/>
  <c r="E517" i="70"/>
  <c r="E518" i="70"/>
  <c r="E521" i="70"/>
  <c r="E522" i="70" s="1"/>
  <c r="E513" i="70"/>
  <c r="E514" i="70" s="1"/>
  <c r="E510" i="70"/>
  <c r="E509" i="70"/>
  <c r="E499" i="70"/>
  <c r="E500" i="70" s="1"/>
  <c r="E493" i="70"/>
  <c r="E494" i="70" s="1"/>
  <c r="E490" i="70"/>
  <c r="E489" i="70"/>
  <c r="E488" i="70"/>
  <c r="F33" i="53"/>
  <c r="E416" i="70"/>
  <c r="E417" i="70" s="1"/>
  <c r="E410" i="70"/>
  <c r="E411" i="70" s="1"/>
  <c r="E407" i="70"/>
  <c r="E406" i="70"/>
  <c r="E396" i="70"/>
  <c r="E397" i="70" s="1"/>
  <c r="E390" i="70"/>
  <c r="E391" i="70" s="1"/>
  <c r="E387" i="70"/>
  <c r="E386" i="70"/>
  <c r="E318" i="70"/>
  <c r="E327" i="70"/>
  <c r="E328" i="70" s="1"/>
  <c r="E321" i="70"/>
  <c r="E322" i="70" s="1"/>
  <c r="E317" i="70"/>
  <c r="E316" i="70"/>
  <c r="E315" i="70"/>
  <c r="E314" i="70"/>
  <c r="E313" i="70"/>
  <c r="E312" i="70"/>
  <c r="E302" i="70"/>
  <c r="E303" i="70" s="1"/>
  <c r="E296" i="70"/>
  <c r="E297" i="70" s="1"/>
  <c r="E293" i="70"/>
  <c r="E292" i="70"/>
  <c r="E283" i="70"/>
  <c r="E224" i="70"/>
  <c r="E234" i="70"/>
  <c r="E235" i="70" s="1"/>
  <c r="E228" i="70"/>
  <c r="E229" i="70" s="1"/>
  <c r="E225" i="70"/>
  <c r="E223" i="70"/>
  <c r="E222" i="70"/>
  <c r="E221" i="70"/>
  <c r="E220" i="70"/>
  <c r="E199" i="70"/>
  <c r="E200" i="70"/>
  <c r="E201" i="70"/>
  <c r="E210" i="70"/>
  <c r="E211" i="70" s="1"/>
  <c r="E204" i="70"/>
  <c r="E205" i="70" s="1"/>
  <c r="E198" i="70"/>
  <c r="E197" i="70"/>
  <c r="E196" i="70"/>
  <c r="E176" i="70"/>
  <c r="E177" i="70"/>
  <c r="B775" i="70" l="1"/>
  <c r="B784" i="70"/>
  <c r="B935" i="70"/>
  <c r="B944" i="70"/>
  <c r="B938" i="70"/>
  <c r="B941" i="70"/>
  <c r="B778" i="70"/>
  <c r="B781" i="70"/>
  <c r="D647" i="70"/>
  <c r="E647" i="70" s="1"/>
  <c r="E648" i="70" s="1"/>
  <c r="E581" i="70"/>
  <c r="D586" i="70" s="1"/>
  <c r="E586" i="70" s="1"/>
  <c r="E587" i="70" s="1"/>
  <c r="D591" i="70" s="1"/>
  <c r="E511" i="70"/>
  <c r="D516" i="70" s="1"/>
  <c r="E516" i="70" s="1"/>
  <c r="E491" i="70"/>
  <c r="D496" i="70" s="1"/>
  <c r="E496" i="70" s="1"/>
  <c r="E497" i="70" s="1"/>
  <c r="D501" i="70" s="1"/>
  <c r="B494" i="70" s="1"/>
  <c r="E408" i="70"/>
  <c r="D413" i="70" s="1"/>
  <c r="E413" i="70" s="1"/>
  <c r="E414" i="70" s="1"/>
  <c r="D418" i="70" s="1"/>
  <c r="E388" i="70"/>
  <c r="D393" i="70" s="1"/>
  <c r="E393" i="70" s="1"/>
  <c r="E394" i="70" s="1"/>
  <c r="E319" i="70"/>
  <c r="D324" i="70" s="1"/>
  <c r="E324" i="70" s="1"/>
  <c r="E325" i="70" s="1"/>
  <c r="D329" i="70" s="1"/>
  <c r="B322" i="70" s="1"/>
  <c r="E294" i="70"/>
  <c r="D299" i="70" s="1"/>
  <c r="E299" i="70" s="1"/>
  <c r="E300" i="70" s="1"/>
  <c r="D304" i="70" s="1"/>
  <c r="B297" i="70" s="1"/>
  <c r="D284" i="70"/>
  <c r="E202" i="70"/>
  <c r="D207" i="70" s="1"/>
  <c r="E207" i="70" s="1"/>
  <c r="E208" i="70" s="1"/>
  <c r="E226" i="70"/>
  <c r="D231" i="70" s="1"/>
  <c r="E231" i="70" s="1"/>
  <c r="E232" i="70" s="1"/>
  <c r="D236" i="70" s="1"/>
  <c r="B229" i="70" s="1"/>
  <c r="E186" i="70"/>
  <c r="E187" i="70" s="1"/>
  <c r="E180" i="70"/>
  <c r="E181" i="70" s="1"/>
  <c r="E175" i="70"/>
  <c r="E165" i="70"/>
  <c r="E166" i="70" s="1"/>
  <c r="E159" i="70"/>
  <c r="E160" i="70" s="1"/>
  <c r="E156" i="70"/>
  <c r="E155" i="70"/>
  <c r="E145" i="70"/>
  <c r="E144" i="70"/>
  <c r="E138" i="70"/>
  <c r="E139" i="70" s="1"/>
  <c r="E135" i="70"/>
  <c r="E134" i="70"/>
  <c r="E124" i="70"/>
  <c r="E123" i="70"/>
  <c r="E117" i="70"/>
  <c r="E118" i="70" s="1"/>
  <c r="E114" i="70"/>
  <c r="E113" i="70"/>
  <c r="E103" i="70"/>
  <c r="E104" i="70" s="1"/>
  <c r="E100" i="70"/>
  <c r="E96" i="70"/>
  <c r="E97" i="70" s="1"/>
  <c r="E93" i="70"/>
  <c r="E92" i="70"/>
  <c r="E58" i="70"/>
  <c r="E61" i="70"/>
  <c r="E62" i="70" s="1"/>
  <c r="E54" i="70"/>
  <c r="E55" i="70" s="1"/>
  <c r="E51" i="70"/>
  <c r="E50" i="70"/>
  <c r="E40" i="70"/>
  <c r="E41" i="70" s="1"/>
  <c r="E34" i="70"/>
  <c r="E35" i="70" s="1"/>
  <c r="E31" i="70"/>
  <c r="E30" i="70"/>
  <c r="E20" i="70"/>
  <c r="E21" i="70" s="1"/>
  <c r="D7" i="70"/>
  <c r="E7" i="70" s="1"/>
  <c r="E14" i="70"/>
  <c r="E15" i="70" s="1"/>
  <c r="E11" i="70"/>
  <c r="E10" i="70"/>
  <c r="E9" i="70"/>
  <c r="E8" i="70"/>
  <c r="F72" i="53"/>
  <c r="F39" i="53"/>
  <c r="F5" i="53"/>
  <c r="F4" i="53" s="1"/>
  <c r="F34" i="53"/>
  <c r="F30" i="53" s="1"/>
  <c r="B277" i="70" l="1"/>
  <c r="B274" i="70"/>
  <c r="B280" i="70"/>
  <c r="D652" i="70"/>
  <c r="B584" i="70"/>
  <c r="B590" i="70"/>
  <c r="B581" i="70"/>
  <c r="B587" i="70"/>
  <c r="E519" i="70"/>
  <c r="D523" i="70" s="1"/>
  <c r="B497" i="70"/>
  <c r="B491" i="70"/>
  <c r="B500" i="70"/>
  <c r="B408" i="70"/>
  <c r="B417" i="70"/>
  <c r="B411" i="70"/>
  <c r="B414" i="70"/>
  <c r="D398" i="70"/>
  <c r="B325" i="70"/>
  <c r="B319" i="70"/>
  <c r="B328" i="70"/>
  <c r="B300" i="70"/>
  <c r="B294" i="70"/>
  <c r="B303" i="70"/>
  <c r="B283" i="70"/>
  <c r="B232" i="70"/>
  <c r="B226" i="70"/>
  <c r="B235" i="70"/>
  <c r="D212" i="70"/>
  <c r="E178" i="70"/>
  <c r="D183" i="70" s="1"/>
  <c r="E183" i="70" s="1"/>
  <c r="E184" i="70" s="1"/>
  <c r="E94" i="70"/>
  <c r="E157" i="70"/>
  <c r="E136" i="70"/>
  <c r="D162" i="70"/>
  <c r="E162" i="70" s="1"/>
  <c r="E163" i="70" s="1"/>
  <c r="E146" i="70"/>
  <c r="D141" i="70"/>
  <c r="E141" i="70" s="1"/>
  <c r="E142" i="70" s="1"/>
  <c r="E125" i="70"/>
  <c r="E115" i="70"/>
  <c r="D120" i="70"/>
  <c r="E120" i="70" s="1"/>
  <c r="E121" i="70" s="1"/>
  <c r="D99" i="70"/>
  <c r="E99" i="70" s="1"/>
  <c r="E101" i="70" s="1"/>
  <c r="E52" i="70"/>
  <c r="E32" i="70"/>
  <c r="D57" i="70"/>
  <c r="E57" i="70" s="1"/>
  <c r="E59" i="70" s="1"/>
  <c r="D37" i="70"/>
  <c r="E37" i="70" s="1"/>
  <c r="E38" i="70" s="1"/>
  <c r="E12" i="70"/>
  <c r="B645" i="70" l="1"/>
  <c r="B651" i="70"/>
  <c r="B642" i="70"/>
  <c r="B648" i="70"/>
  <c r="B514" i="70"/>
  <c r="B511" i="70"/>
  <c r="B522" i="70"/>
  <c r="B519" i="70"/>
  <c r="B397" i="70"/>
  <c r="B388" i="70"/>
  <c r="B391" i="70"/>
  <c r="B394" i="70"/>
  <c r="B202" i="70"/>
  <c r="B211" i="70"/>
  <c r="B205" i="70"/>
  <c r="B208" i="70"/>
  <c r="D188" i="70"/>
  <c r="B178" i="70" s="1"/>
  <c r="D167" i="70"/>
  <c r="B166" i="70" s="1"/>
  <c r="D147" i="70"/>
  <c r="B146" i="70" s="1"/>
  <c r="D105" i="70"/>
  <c r="B104" i="70" s="1"/>
  <c r="D126" i="70"/>
  <c r="B125" i="70" s="1"/>
  <c r="D63" i="70"/>
  <c r="B52" i="70" s="1"/>
  <c r="D42" i="70"/>
  <c r="B41" i="70" s="1"/>
  <c r="D17" i="70"/>
  <c r="E17" i="70" s="1"/>
  <c r="E18" i="70" s="1"/>
  <c r="B163" i="70" l="1"/>
  <c r="B136" i="70"/>
  <c r="B101" i="70"/>
  <c r="B187" i="70"/>
  <c r="B181" i="70"/>
  <c r="B184" i="70"/>
  <c r="B142" i="70"/>
  <c r="B160" i="70"/>
  <c r="B62" i="70"/>
  <c r="B139" i="70"/>
  <c r="B157" i="70"/>
  <c r="B94" i="70"/>
  <c r="B97" i="70"/>
  <c r="B115" i="70"/>
  <c r="B55" i="70"/>
  <c r="B121" i="70"/>
  <c r="B118" i="70"/>
  <c r="B38" i="70"/>
  <c r="B59" i="70"/>
  <c r="B32" i="70"/>
  <c r="B35" i="70"/>
  <c r="D22" i="70"/>
  <c r="B15" i="70" l="1"/>
  <c r="B21" i="70"/>
  <c r="B12" i="70"/>
  <c r="B18" i="70"/>
  <c r="F50" i="53" l="1"/>
  <c r="F49" i="53" s="1"/>
  <c r="F73" i="53"/>
  <c r="F63" i="53" s="1"/>
  <c r="F24" i="53"/>
  <c r="F23" i="53"/>
  <c r="F22" i="53"/>
  <c r="F43" i="53" l="1"/>
  <c r="F42" i="53" s="1"/>
  <c r="F10" i="53" l="1"/>
  <c r="F13" i="53"/>
  <c r="F12" i="53" s="1"/>
  <c r="F7" i="53" l="1"/>
  <c r="F6" i="53" l="1"/>
  <c r="F16" i="53"/>
  <c r="F29" i="53" l="1"/>
  <c r="F28" i="53"/>
  <c r="F15" i="53"/>
  <c r="F36" i="53"/>
  <c r="F9" i="53"/>
  <c r="F20" i="53"/>
  <c r="F18" i="53"/>
  <c r="F104" i="53"/>
  <c r="F105" i="53"/>
  <c r="F19" i="53"/>
  <c r="F99" i="53"/>
  <c r="F100" i="53"/>
  <c r="F101" i="53"/>
  <c r="F102" i="53"/>
  <c r="F103" i="53"/>
  <c r="F19" i="50"/>
  <c r="E19" i="50"/>
  <c r="D19" i="50"/>
  <c r="G19" i="50" s="1"/>
  <c r="F18" i="50"/>
  <c r="E18" i="50"/>
  <c r="D18" i="50"/>
  <c r="G18" i="50" s="1"/>
  <c r="F17" i="50"/>
  <c r="E17" i="50"/>
  <c r="D17" i="50"/>
  <c r="G17" i="50" s="1"/>
  <c r="F16" i="50"/>
  <c r="E16" i="50"/>
  <c r="D16" i="50"/>
  <c r="G16" i="50" s="1"/>
  <c r="F98" i="53" l="1"/>
  <c r="F17" i="53"/>
  <c r="F8" i="53"/>
  <c r="F27" i="53"/>
  <c r="F35" i="53"/>
  <c r="F14" i="53"/>
  <c r="F141" i="53" l="1"/>
  <c r="G25" i="53" l="1"/>
  <c r="G46" i="53"/>
  <c r="G50" i="53"/>
  <c r="G21" i="53"/>
  <c r="G73" i="53"/>
  <c r="G125" i="53"/>
  <c r="G128" i="53"/>
  <c r="G114" i="53"/>
  <c r="G84" i="53"/>
  <c r="G58" i="53"/>
  <c r="G90" i="53"/>
  <c r="G131" i="53"/>
  <c r="G23" i="53"/>
  <c r="G121" i="53"/>
  <c r="G59" i="53"/>
  <c r="G113" i="53"/>
  <c r="G97" i="53"/>
  <c r="G72" i="53"/>
  <c r="G53" i="53"/>
  <c r="G85" i="53"/>
  <c r="G122" i="53"/>
  <c r="G66" i="53"/>
  <c r="G47" i="53"/>
  <c r="G119" i="53"/>
  <c r="G31" i="53"/>
  <c r="G68" i="53"/>
  <c r="G79" i="53"/>
  <c r="G115" i="53"/>
  <c r="G134" i="53"/>
  <c r="G133" i="53" s="1"/>
  <c r="G112" i="53"/>
  <c r="G34" i="53"/>
  <c r="G77" i="53"/>
  <c r="G52" i="53"/>
  <c r="G86" i="53"/>
  <c r="G129" i="53"/>
  <c r="G26" i="53"/>
  <c r="G38" i="53"/>
  <c r="G56" i="53"/>
  <c r="G61" i="53"/>
  <c r="G43" i="53"/>
  <c r="G45" i="53"/>
  <c r="G37" i="53"/>
  <c r="G48" i="53"/>
  <c r="G87" i="53"/>
  <c r="G62" i="53"/>
  <c r="G82" i="53"/>
  <c r="G88" i="53"/>
  <c r="G107" i="53"/>
  <c r="G40" i="53"/>
  <c r="G124" i="53"/>
  <c r="G106" i="53"/>
  <c r="G137" i="53"/>
  <c r="G140" i="53"/>
  <c r="G93" i="53"/>
  <c r="G109" i="53"/>
  <c r="G33" i="53"/>
  <c r="G54" i="53"/>
  <c r="G70" i="53"/>
  <c r="G22" i="53"/>
  <c r="G126" i="53"/>
  <c r="G32" i="53"/>
  <c r="G69" i="53"/>
  <c r="G111" i="53"/>
  <c r="G139" i="53"/>
  <c r="G138" i="53" s="1"/>
  <c r="G65" i="53"/>
  <c r="G81" i="53"/>
  <c r="G132" i="53"/>
  <c r="G11" i="53"/>
  <c r="G5" i="53"/>
  <c r="G4" i="53" s="1"/>
  <c r="G116" i="53"/>
  <c r="G136" i="53"/>
  <c r="G135" i="53" s="1"/>
  <c r="G83" i="53"/>
  <c r="G95" i="53"/>
  <c r="G120" i="53"/>
  <c r="G94" i="53"/>
  <c r="G67" i="53"/>
  <c r="G60" i="53"/>
  <c r="G78" i="53"/>
  <c r="G51" i="53"/>
  <c r="G57" i="53"/>
  <c r="G74" i="53"/>
  <c r="G24" i="53"/>
  <c r="G110" i="53"/>
  <c r="G89" i="53"/>
  <c r="G92" i="53"/>
  <c r="G39" i="53"/>
  <c r="G71" i="53"/>
  <c r="G55" i="53"/>
  <c r="G64" i="53"/>
  <c r="G96" i="53"/>
  <c r="G41" i="53"/>
  <c r="G80" i="53"/>
  <c r="G44" i="53"/>
  <c r="G10" i="53"/>
  <c r="G13" i="53"/>
  <c r="G12" i="53" s="1"/>
  <c r="G7" i="53"/>
  <c r="G16" i="53"/>
  <c r="G100" i="53"/>
  <c r="G36" i="53"/>
  <c r="G29" i="53"/>
  <c r="G102" i="53"/>
  <c r="F152" i="53"/>
  <c r="G9" i="53"/>
  <c r="G20" i="53"/>
  <c r="G19" i="53"/>
  <c r="G15" i="53"/>
  <c r="G99" i="53"/>
  <c r="G103" i="53"/>
  <c r="G105" i="53"/>
  <c r="G18" i="53"/>
  <c r="G104" i="53"/>
  <c r="G28" i="53"/>
  <c r="G27" i="53" s="1"/>
  <c r="G101" i="53"/>
  <c r="F144" i="53"/>
  <c r="F143" i="53"/>
  <c r="F145" i="53"/>
  <c r="F146" i="53" s="1"/>
  <c r="G127" i="53" l="1"/>
  <c r="G130" i="53"/>
  <c r="G123" i="53"/>
  <c r="G76" i="53"/>
  <c r="G17" i="53"/>
  <c r="G98" i="53"/>
  <c r="G30" i="53"/>
  <c r="G42" i="53"/>
  <c r="G118" i="53"/>
  <c r="G108" i="53"/>
  <c r="G14" i="53"/>
  <c r="G91" i="53"/>
  <c r="G63" i="53"/>
  <c r="G8" i="53"/>
  <c r="G35" i="53"/>
  <c r="G49" i="53"/>
  <c r="F148" i="53"/>
  <c r="F153" i="53" s="1"/>
  <c r="G6" i="53"/>
  <c r="G117" i="53" l="1"/>
  <c r="G75" i="53"/>
  <c r="G141" i="53" s="1"/>
</calcChain>
</file>

<file path=xl/sharedStrings.xml><?xml version="1.0" encoding="utf-8"?>
<sst xmlns="http://schemas.openxmlformats.org/spreadsheetml/2006/main" count="4543" uniqueCount="703">
  <si>
    <t>Impacto</t>
  </si>
  <si>
    <t>Victoria Eugenia Forero Suárez</t>
  </si>
  <si>
    <t>Cantidad</t>
  </si>
  <si>
    <t>Proyecto / Mantenimiento</t>
  </si>
  <si>
    <t>Frecuencia</t>
  </si>
  <si>
    <t>Prioridad</t>
  </si>
  <si>
    <t>Seguimiento</t>
  </si>
  <si>
    <t>Jorge Enrique Salazar Cardona</t>
  </si>
  <si>
    <t>Tiempo de entrega</t>
  </si>
  <si>
    <t>Autonomía</t>
  </si>
  <si>
    <t>Reputación</t>
  </si>
  <si>
    <t>Lider del proyecto</t>
  </si>
  <si>
    <t xml:space="preserve">En implementación </t>
  </si>
  <si>
    <t>Especificaciones</t>
  </si>
  <si>
    <t>Procedimientos de verificación</t>
  </si>
  <si>
    <t>Arquitectura</t>
  </si>
  <si>
    <t>Diseño</t>
  </si>
  <si>
    <t>Información</t>
  </si>
  <si>
    <t xml:space="preserve">Mónica Jiménez Carmona </t>
  </si>
  <si>
    <t>Comunicaciones</t>
  </si>
  <si>
    <t>Financiero</t>
  </si>
  <si>
    <t>Daniel Moreno Wickmann</t>
  </si>
  <si>
    <t xml:space="preserve">Normas y políticas </t>
  </si>
  <si>
    <t xml:space="preserve">Paul García Álvarez </t>
  </si>
  <si>
    <t>Sin Acción y/o desactualizado</t>
  </si>
  <si>
    <t>Mauricio Andres Navas Pulido</t>
  </si>
  <si>
    <t>Adquisiciones, ventas y prediales</t>
  </si>
  <si>
    <t>Gloria Isabel Restrepo Riaza</t>
  </si>
  <si>
    <t>Francisco Jose Morales Fernandez</t>
  </si>
  <si>
    <t>Humano</t>
  </si>
  <si>
    <t>Tabla de frecuencia/probabilidad</t>
  </si>
  <si>
    <t>Remoto</t>
  </si>
  <si>
    <t>Muy baja probabilidad de ocurrencia:</t>
  </si>
  <si>
    <r>
      <t>a.</t>
    </r>
    <r>
      <rPr>
        <sz val="7"/>
        <color theme="1"/>
        <rFont val="Times New Roman"/>
        <family val="1"/>
      </rPr>
      <t xml:space="preserve">     </t>
    </r>
    <r>
      <rPr>
        <sz val="9"/>
        <color theme="1"/>
        <rFont val="Tahoma"/>
        <family val="2"/>
      </rPr>
      <t>No se ha presentado en el último año pero se ha presentado alguna vez en la historia de la compañía o</t>
    </r>
  </si>
  <si>
    <r>
      <t>b.</t>
    </r>
    <r>
      <rPr>
        <sz val="7"/>
        <color theme="1"/>
        <rFont val="Times New Roman"/>
        <family val="1"/>
      </rPr>
      <t xml:space="preserve">     </t>
    </r>
    <r>
      <rPr>
        <sz val="9"/>
        <color theme="1"/>
        <rFont val="Tahoma"/>
        <family val="2"/>
      </rPr>
      <t xml:space="preserve">Puede suceder alguna vez en los próximos 5 años </t>
    </r>
  </si>
  <si>
    <t>Posible</t>
  </si>
  <si>
    <t xml:space="preserve">Limitada probabilidad de ocurrencia; </t>
  </si>
  <si>
    <r>
      <t>a.</t>
    </r>
    <r>
      <rPr>
        <sz val="7"/>
        <color theme="1"/>
        <rFont val="Times New Roman"/>
        <family val="1"/>
      </rPr>
      <t xml:space="preserve">     </t>
    </r>
    <r>
      <rPr>
        <sz val="9"/>
        <color theme="1"/>
        <rFont val="Tahoma"/>
        <family val="2"/>
      </rPr>
      <t>Ha sucedido una vez en el último año, ó</t>
    </r>
  </si>
  <si>
    <r>
      <t>b.</t>
    </r>
    <r>
      <rPr>
        <sz val="7"/>
        <color theme="1"/>
        <rFont val="Times New Roman"/>
        <family val="1"/>
      </rPr>
      <t xml:space="preserve">     </t>
    </r>
    <r>
      <rPr>
        <sz val="9"/>
        <color theme="1"/>
        <rFont val="Tahoma"/>
        <family val="2"/>
      </rPr>
      <t>Puede suceder solo una vez, en el próximo año.</t>
    </r>
  </si>
  <si>
    <t>Frecuente</t>
  </si>
  <si>
    <t>Significativa probabilidad de ocurrencia:</t>
  </si>
  <si>
    <r>
      <t>a.</t>
    </r>
    <r>
      <rPr>
        <sz val="7"/>
        <color theme="1"/>
        <rFont val="Times New Roman"/>
        <family val="1"/>
      </rPr>
      <t xml:space="preserve">     </t>
    </r>
    <r>
      <rPr>
        <sz val="9"/>
        <color theme="1"/>
        <rFont val="Tahoma"/>
        <family val="2"/>
      </rPr>
      <t>Sucede o ha sucedido dos veces  en el último año, ó</t>
    </r>
  </si>
  <si>
    <r>
      <t>b.</t>
    </r>
    <r>
      <rPr>
        <sz val="7"/>
        <color theme="1"/>
        <rFont val="Times New Roman"/>
        <family val="1"/>
      </rPr>
      <t xml:space="preserve">     </t>
    </r>
    <r>
      <rPr>
        <sz val="9"/>
        <color theme="1"/>
        <rFont val="Tahoma"/>
        <family val="2"/>
      </rPr>
      <t xml:space="preserve">Puede suceder dos veces  en el próximo año  </t>
    </r>
  </si>
  <si>
    <t>Recurrente</t>
  </si>
  <si>
    <t>Muy alta probabilidad de ocurrencia:</t>
  </si>
  <si>
    <r>
      <t>a.</t>
    </r>
    <r>
      <rPr>
        <sz val="7"/>
        <color theme="1"/>
        <rFont val="Times New Roman"/>
        <family val="1"/>
      </rPr>
      <t xml:space="preserve">     </t>
    </r>
    <r>
      <rPr>
        <sz val="9"/>
        <color theme="1"/>
        <rFont val="Tahoma"/>
        <family val="2"/>
      </rPr>
      <t>Ocurre más de tres veces en el último año ó</t>
    </r>
  </si>
  <si>
    <r>
      <t>b.</t>
    </r>
    <r>
      <rPr>
        <sz val="7"/>
        <color theme="1"/>
        <rFont val="Times New Roman"/>
        <family val="1"/>
      </rPr>
      <t xml:space="preserve">     </t>
    </r>
    <r>
      <rPr>
        <sz val="9"/>
        <color theme="1"/>
        <rFont val="Tahoma"/>
        <family val="2"/>
      </rPr>
      <t xml:space="preserve">Puede suceder tres veces en el próximo año. </t>
    </r>
  </si>
  <si>
    <t>Categoria</t>
  </si>
  <si>
    <t>Causas</t>
  </si>
  <si>
    <t>Efectos</t>
  </si>
  <si>
    <t>Equipo GSA</t>
  </si>
  <si>
    <t>Integración</t>
  </si>
  <si>
    <t>Andrea Alexandra Alzate Angel</t>
  </si>
  <si>
    <t>AAA</t>
  </si>
  <si>
    <t>Alcance</t>
  </si>
  <si>
    <t>Completo  (definido y documentado)</t>
  </si>
  <si>
    <t xml:space="preserve">Tiempo </t>
  </si>
  <si>
    <t>Selección de personal</t>
  </si>
  <si>
    <t>Gestionado (validado,  comunicado, administrable y medible)</t>
  </si>
  <si>
    <t>Costo</t>
  </si>
  <si>
    <t>DMW</t>
  </si>
  <si>
    <t>Optimizado y Automatizado</t>
  </si>
  <si>
    <t>Calidad</t>
  </si>
  <si>
    <t>Entorno</t>
  </si>
  <si>
    <t>Medio Ambiente</t>
  </si>
  <si>
    <t>FJM</t>
  </si>
  <si>
    <t>Recursos Humanos</t>
  </si>
  <si>
    <t>GIR</t>
  </si>
  <si>
    <t>Riesgo</t>
  </si>
  <si>
    <t>JES</t>
  </si>
  <si>
    <t xml:space="preserve">Adquisiciones </t>
  </si>
  <si>
    <t>José Olider Flórez Domínguez</t>
  </si>
  <si>
    <t>JOF</t>
  </si>
  <si>
    <t>Otros</t>
  </si>
  <si>
    <t>Luis Fernando Peláez Betancur</t>
  </si>
  <si>
    <t>LFP</t>
  </si>
  <si>
    <t>Luis Gabriel Vanegas Betancur</t>
  </si>
  <si>
    <t>LGV</t>
  </si>
  <si>
    <t>MAN</t>
  </si>
  <si>
    <t>MJC</t>
  </si>
  <si>
    <t>PFG</t>
  </si>
  <si>
    <t>VEF</t>
  </si>
  <si>
    <t>Tabla impacto- severidad</t>
  </si>
  <si>
    <t>RECURSO</t>
  </si>
  <si>
    <t>Financiero (sobre Valor del proyecto/mantenimiento)</t>
  </si>
  <si>
    <t>Medio ambiente</t>
  </si>
  <si>
    <t>GRADO</t>
  </si>
  <si>
    <t>Sobre ingresos netos</t>
  </si>
  <si>
    <t>(1) Insignificante</t>
  </si>
  <si>
    <t>Lesiones menores sin incapacidad</t>
  </si>
  <si>
    <t>&lt; 5%</t>
  </si>
  <si>
    <t>Recuperable dentro del area</t>
  </si>
  <si>
    <t>Conocimiento interno sin consecuencias</t>
  </si>
  <si>
    <t>Afectación ambiental leve recuperable</t>
  </si>
  <si>
    <t>(2) Leve</t>
  </si>
  <si>
    <t xml:space="preserve">Lesiones con incapacidad, pero sin secuelas
</t>
  </si>
  <si>
    <t xml:space="preserve">&gt;5 y &lt;15%  </t>
  </si>
  <si>
    <t>Recuperable dentro de la Gerencia</t>
  </si>
  <si>
    <t>conocimiento interno con consecuencias</t>
  </si>
  <si>
    <t>Afectación ambiental leve no recuperable</t>
  </si>
  <si>
    <t>(3) Grave</t>
  </si>
  <si>
    <t>Lesiones con secuelas, pero sin invalidez</t>
  </si>
  <si>
    <t>&gt;15% y &lt;20%</t>
  </si>
  <si>
    <t>Recuperable fuera de la Gerencia</t>
  </si>
  <si>
    <t>Conocimiento externo sin consecuencias</t>
  </si>
  <si>
    <t xml:space="preserve">Afectación ambiental grave recuperable
</t>
  </si>
  <si>
    <t>(4) Crítico</t>
  </si>
  <si>
    <t>Invalidez o la muerte</t>
  </si>
  <si>
    <t>&gt; a 20%</t>
  </si>
  <si>
    <t>Irrecuperable</t>
  </si>
  <si>
    <t>Conocimiento externo con consecuencias</t>
  </si>
  <si>
    <t>Afectación ambiental grave no recuperable</t>
  </si>
  <si>
    <t>Insignificante</t>
  </si>
  <si>
    <t>leve</t>
  </si>
  <si>
    <t xml:space="preserve">grave </t>
  </si>
  <si>
    <t>crítico</t>
  </si>
  <si>
    <t>Evento Positivo</t>
  </si>
  <si>
    <t>Evento Negativo</t>
  </si>
  <si>
    <t>(Todas)</t>
  </si>
  <si>
    <t>Cuenta de Causa</t>
  </si>
  <si>
    <t>Rótulos de columna</t>
  </si>
  <si>
    <t>Rótulos de fila</t>
  </si>
  <si>
    <t>(en blanco)</t>
  </si>
  <si>
    <t>Total general</t>
  </si>
  <si>
    <t>Contrato</t>
  </si>
  <si>
    <t>Cristina Tamayo Aguiar</t>
  </si>
  <si>
    <t>CTA</t>
  </si>
  <si>
    <t>WML</t>
  </si>
  <si>
    <t>Miryelly Serna Rojas</t>
  </si>
  <si>
    <t>MSR</t>
  </si>
  <si>
    <t>Guillermo León Eusse Trujillo</t>
  </si>
  <si>
    <t>Interesados</t>
  </si>
  <si>
    <t>Equipo</t>
  </si>
  <si>
    <t xml:space="preserve">Materiales </t>
  </si>
  <si>
    <t>Personas</t>
  </si>
  <si>
    <t>Guillermo Garzón Parra</t>
  </si>
  <si>
    <t>GGP</t>
  </si>
  <si>
    <t>Notas</t>
  </si>
  <si>
    <t>Utilidad</t>
  </si>
  <si>
    <t>Imprevistos</t>
  </si>
  <si>
    <t>13.2</t>
  </si>
  <si>
    <t>13.1</t>
  </si>
  <si>
    <t>12.1</t>
  </si>
  <si>
    <t>11.2</t>
  </si>
  <si>
    <t>11.1</t>
  </si>
  <si>
    <t>10.1</t>
  </si>
  <si>
    <t>9.1</t>
  </si>
  <si>
    <t>8.4</t>
  </si>
  <si>
    <t>8.3</t>
  </si>
  <si>
    <t>8.2</t>
  </si>
  <si>
    <t>8.1</t>
  </si>
  <si>
    <t>7.2</t>
  </si>
  <si>
    <t>7.1</t>
  </si>
  <si>
    <t>6.2</t>
  </si>
  <si>
    <t>6.1</t>
  </si>
  <si>
    <t>5.1</t>
  </si>
  <si>
    <t>4.1</t>
  </si>
  <si>
    <t>3.3</t>
  </si>
  <si>
    <t>3.2</t>
  </si>
  <si>
    <t>3.1</t>
  </si>
  <si>
    <t>2.1</t>
  </si>
  <si>
    <t>Incidencia</t>
  </si>
  <si>
    <t>Costo directo</t>
  </si>
  <si>
    <t>Vr. Unitario</t>
  </si>
  <si>
    <t>Unidad</t>
  </si>
  <si>
    <t>12.2</t>
  </si>
  <si>
    <t>12.3</t>
  </si>
  <si>
    <t>Ítem</t>
  </si>
  <si>
    <t>Descripción de la actividad</t>
  </si>
  <si>
    <t>Administración</t>
  </si>
  <si>
    <t>IVA sobre la utilidad</t>
  </si>
  <si>
    <t>GRAN TOTAL</t>
  </si>
  <si>
    <t>5.2</t>
  </si>
  <si>
    <t>DIFERENCIA</t>
  </si>
  <si>
    <t>Area</t>
  </si>
  <si>
    <t>valor / m2</t>
  </si>
  <si>
    <t>Retiro de puertas (marco y ala) metalicas, en aluminio, en madera o puerta reja. Incluye el retiro, cargue, transporte, botada de escombros y recuperacion de los materiales aprovechables y su transporte hasta donde se indique. Dimensiones variables.</t>
  </si>
  <si>
    <t>6.3</t>
  </si>
  <si>
    <t>Excavacion manual de material heterogeneo de 0-2m. Bajo cualquier grado de humedad. Incluye roca descompuesta, bolas de roca, cargue, transporte y botada en boatderos oficiales del material proveniente de la excavacion o en el sitio donde se indique. No incluye entibado.</t>
  </si>
  <si>
    <t>Suministro, transporte y colocacion de concreto de 3000psi (21MPa) para vigas aereas para amarre de mamposteria de 0,15x0,20m. Incluye transporte interno (vertical y horizontal y en las zonas aferentes dentro de la obra), armado y desarmado de la obra falsa y formaleta completa, proteccion, curado y todos los demas elementos necesarios para su correcta construccion, no incluye refuerzo.</t>
  </si>
  <si>
    <t>Suministro, transporte y colocacion de grouting en concreto (17,5MPa) para elementos no estructurales (dovelas, cintas, viguetas, entre otros). Incluye transporte interno (vertical y horizontal y en las zonas aferentes dentro de la obra), armado y desarmado de la obra falsa y formaleta completa, proteccion, curado y todos los demas elementos necesarios para su correcta construccion, no incluye refuerzo.</t>
  </si>
  <si>
    <t>Suministro, transporte e instalacion de acero de refuerzo figurado FY=420MPa - 60000psi, corrugado. Incluye transporte con descarga, transporte interno, alambre de amarre, certificado y todos los elementos necesarios para su correcta instalacion, según diseño y recomendaciones estructurales.</t>
  </si>
  <si>
    <t>Suministro, transporte e instalacion de malla electrosoldada tipo D - 84. Incluye todos los elementos necesarios para su correcta instalacion.</t>
  </si>
  <si>
    <t>Suministro, transporte e instalacion de sistema de proteccion e impermeabilizacion para evitar patologias en pisos por humedad ascendente (capilaridad) consistente en una capa sencilla de polietileno color negro calibre 4. incluye suministro y transporte de los materiales, traslapos, costuras, y todos los elementos necesarios para su correcta instalacion.</t>
  </si>
  <si>
    <t>m</t>
  </si>
  <si>
    <t>un</t>
  </si>
  <si>
    <t>m2</t>
  </si>
  <si>
    <t>gl</t>
  </si>
  <si>
    <t>m3</t>
  </si>
  <si>
    <t>ml</t>
  </si>
  <si>
    <t>kg</t>
  </si>
  <si>
    <t>1.1</t>
  </si>
  <si>
    <t>Demolicion de andenes o pisos, cargue, transporte y botada de escombros de espesores variables y acabados varables. Incluye retiro de cordones, retiro de enchape (baldosa, baldosin, forros en arenon, madera, vinilo, granito esmerilado, concreto, gres, entre otros), placa de concreto si existe, entresuelo de recebo. Incluye corte con maquina de disco segun trazado  compresor neumatico con martillo, ademas recuperacion de los materiales aprovechables o su transporte hasta donde se indique.</t>
  </si>
  <si>
    <t>Suministro, transporte y colocacion de concreto de 3000psi (21MPa) para andenes o pisos a la vista. Incluye transporte interno (vertical y horizontal y en las zonas aferentes dentro de la obra), armado y desarmado de la obra falsa y formaleta completa, proteccion, curado y todos los demas elementos necesarios para su correcta construccion, no incluye refuerzo.</t>
  </si>
  <si>
    <t>Demolicion de mamposteria en ladrillo o en concreto de cualquier espesor. Incluye cargue, transporte y botada de escombros en botaderos oficiales, demolicion de revoques y enchapes aplicados en el muro a demoler e instalaciones embebidas, ademas recuperacion de materiales aprovechables o su transporte hasta donde se indique, se debe usar cortadora para garantizar que los filetes de la demolicion queden ortogonales.</t>
  </si>
  <si>
    <t>Llenos en arenilla, compctados mecanicamente hasta obtener una densidad del 98% de la maxima obtenida en el ensayo del proctor modificado. Incluye el suministro,transporte y colocacion de la arenilla, la compactacion de la misma y el transporte interno, su medida sera en sitio, ya compactada.</t>
  </si>
  <si>
    <t>Cargue, transporte y botada de escombros o material resultante de la excavacion. Incluye el cargue, repleo, transporte interno y externo y botada de material tipo escombros en botaderos oficiales o en el sitio donde se indique.</t>
  </si>
  <si>
    <t>Construccion de juntas de dilatacion entre mamposteria y elementos estructurales y no estructurales, entre concreto nuevo y existente. Incluye suministro, transporte e instalacion de varilla de espuma de polietileno tipo sellalon, sikarod o equivalente, aplicación de masilla elastica sellante y adhesiva con base en poliuretano tipo sikaflx-1A o equivalente, junta maxima de 20mm de ancho, color similar al muro, ademas de todo lo necesario para su correcta construccion. Se deben seguir todas las especificaciones y recomendaciones de los fabricantes de los materiales.</t>
  </si>
  <si>
    <t>Instalación de CERRAMIENTO PROVISIONAL en tela naranja con una altura de 2,1 m, y estructura en larguero común, concreto de 17.5 Mpa para fijación de estructura en madera común. Incluye suministro, transporte, instalación y desmonte de la tela, excavación manual en cualquier material, cargue, transporte y botada de material y todos los demás elementos necesarios para su correcta instalación.</t>
  </si>
  <si>
    <t>No. Item</t>
  </si>
  <si>
    <t>ANALISIS DE PRECIOS UNITARIOS</t>
  </si>
  <si>
    <t>Materiales</t>
  </si>
  <si>
    <t>V/Unitario</t>
  </si>
  <si>
    <t>V/Total</t>
  </si>
  <si>
    <t>Tela cerramiento obra verde, ancho: 2.10 m. Incluye transporte externo e interno.</t>
  </si>
  <si>
    <t>Malla plástica naranja (polietileno de alta densidad, rollo por 50 m, ancho 1,40 m)</t>
  </si>
  <si>
    <t>Larguero madera común 4cmx8cmx2.80m. Incluye transporte.</t>
  </si>
  <si>
    <t>lb</t>
  </si>
  <si>
    <t>Concreto de 17.5 Mpa preparado en obra</t>
  </si>
  <si>
    <t>SUBTOTAL</t>
  </si>
  <si>
    <t>Mano de Obra</t>
  </si>
  <si>
    <t>Cuadrilla 1 Oficial + 1 Ayudante Entendido</t>
  </si>
  <si>
    <t>jor</t>
  </si>
  <si>
    <t>Herramienta menor</t>
  </si>
  <si>
    <t>(%)mo</t>
  </si>
  <si>
    <t>P R E C I O   U N I T A R I O</t>
  </si>
  <si>
    <t>HOSPITAL YOLOMBÓ</t>
  </si>
  <si>
    <t>Transporte interno</t>
  </si>
  <si>
    <t>Herramienta y equipo</t>
  </si>
  <si>
    <t>Transporte</t>
  </si>
  <si>
    <t>Cuadrilla 1 Oficial + 2 Ayudante Entendido</t>
  </si>
  <si>
    <t>Instalacion de lagrimal prefabricado de 0,30x0,50m. Incluye suministro y transporte del elemento, mortero de pega y revite.</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</si>
  <si>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</si>
  <si>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Colocacion de revoque con mortero 1:4 en muros. Incluye suministro, transporte e instalacion de los materiales, fajas, filetes y ranuras y todos los elementos necesarios para su correcta construccion.</t>
  </si>
  <si>
    <t>6.4</t>
  </si>
  <si>
    <t>6.5</t>
  </si>
  <si>
    <t>6.6</t>
  </si>
  <si>
    <t>6.7</t>
  </si>
  <si>
    <t>6.8</t>
  </si>
  <si>
    <t>9.2</t>
  </si>
  <si>
    <t>%eq</t>
  </si>
  <si>
    <t>Taladro demoledor</t>
  </si>
  <si>
    <t>Ayudante Raso</t>
  </si>
  <si>
    <t>Cargue (Paleros), transporte de material, derechos de botadero y/o almacenamiento en bodega</t>
  </si>
  <si>
    <t>Arena de concreto</t>
  </si>
  <si>
    <t>Triturado 3/4"</t>
  </si>
  <si>
    <t>Cemento uso general</t>
  </si>
  <si>
    <t>Suministro, transporte y colocacion de concreto de 3000psi (21MPa) para vigas de fundacion de 0,30x0,30m. Incluye transporte interno (vertical y horizontal y en las zonas aferentes dentro de la obra), proteccion, curado y todos los demas elementos necesarios para su correcta construccion, no incluye refuerzo.</t>
  </si>
  <si>
    <t>bulto</t>
  </si>
  <si>
    <t>Clavo comun 3"</t>
  </si>
  <si>
    <t>Clavo común de 1"</t>
  </si>
  <si>
    <t>Tabla tipo super T de 1,22m x 2,44m</t>
  </si>
  <si>
    <t>Triturado 3/8"</t>
  </si>
  <si>
    <t>Anclaje químico estructural sobre muro pantalla de concreto, formado por barra corrugada N° 3 de diámetro y 65-70 cm de longitud de acero Grado 60 (fy=4200 kg/cm²), anclada 15-20 cm, fijada con Anclaje epoxico RE-500 Hilti o equivalente, Incluye espieral N°2 paso 35 mm (3 vueltas), perforación de concreto o estructura, limpieza, botada de escombros y todo lo necesario para su correcta instalación y funcionamiento.</t>
  </si>
  <si>
    <t>Acero refuerzo G-60 sin figurar</t>
  </si>
  <si>
    <t>Resina epóxico, alto rendimiento para conexiones barras/anclajes de altas cargas HIT-RE 500 V3</t>
  </si>
  <si>
    <t>cm</t>
  </si>
  <si>
    <t>Cuadrilla 1Of + 1 Ay Instalación</t>
  </si>
  <si>
    <t>Malla electrosoldada tipo D-50</t>
  </si>
  <si>
    <t>Alambre recocido C 18</t>
  </si>
  <si>
    <t>Cuadrilla 1Of + 1 Ay Obra Negra</t>
  </si>
  <si>
    <t>Transporte de acero( descargue y transporte interno)</t>
  </si>
  <si>
    <t>Malla electrosoldada tipo D - 84</t>
  </si>
  <si>
    <t>Arena de pega</t>
  </si>
  <si>
    <t>Cuadrilla Mampostería</t>
  </si>
  <si>
    <t>Vulkem 116 e=25mm</t>
  </si>
  <si>
    <t>Back rod</t>
  </si>
  <si>
    <t>Lagrimal prefabricado de 0,30x0,50m puesto en obra</t>
  </si>
  <si>
    <t>Arena de revoque</t>
  </si>
  <si>
    <t>Sección completa de andamio (1.2m-1.5m) x 1.5 m. (+ 4 ruedas) Incluye transporte.</t>
  </si>
  <si>
    <t>día</t>
  </si>
  <si>
    <t>Can zunchado en madera común de 5,0cmx20cmx3,0m (alquiler). Incluye transporte.</t>
  </si>
  <si>
    <t>Pintura vinilo tipo 1 Viniltex o equivalente</t>
  </si>
  <si>
    <t>gln</t>
  </si>
  <si>
    <t>Estopa</t>
  </si>
  <si>
    <t>Lija 200</t>
  </si>
  <si>
    <t>Cuadrilla 1Of Obra Blanca+ 1 Ay Entendido</t>
  </si>
  <si>
    <t>Polietileno color negro calibre 4</t>
  </si>
  <si>
    <t>Canoas calibre 24.</t>
  </si>
  <si>
    <t xml:space="preserve">LIMPIADOR </t>
  </si>
  <si>
    <t>Galon</t>
  </si>
  <si>
    <t>SOLDADURA LIQUIDA PVC 1/4 GAL</t>
  </si>
  <si>
    <t>Demolicion de cañuela en concreto y botada de escombros de espesores variables y acabados varables. Incluye retiro de cordones, retiro de enchape (granito esmerilado, concreto, gres, entre otros), placa de concreto si existe, entresuelo de recebo. Incluye corte con maquina de disco segun trazado compresor neumatico con martillo, ademas recuperacion de los materiales aprovechables o su transporte hasta donde se indique.</t>
  </si>
  <si>
    <t>Suministro, transporte y colocacion de concreto de 3000psi (21MPa) para cañuela. Incluye transporte interno (vertical y horizontal y en las zonas aferentes dentro de la obra), armado y desarmado de la obra falsa y formaleta completa en super "T", proteccion, curado, malla electrosoldada D - 50 y todos los demas elementos necesarios para su correcta construccion, no incluye refuerzo.</t>
  </si>
  <si>
    <t>Colocación de ESTUCO ACRÍLICO PROFESIONAL, SOBRE MUROS REVOCADOS, 3 manos mínimo, o las que sea necesarias para obtener una superficie pareja y homogénea. Incluye suministro y transporte de los materiales, ranuras, filetes, dilataciones y todos los elementos necesarios para su correcta aplicación y funcionamiento.</t>
  </si>
  <si>
    <t>Colocacion de revoque exterior con mortero 1:4 impermeabilizado en muros. Incluye suministro, transporte e instalacion de los materiales, fajas, ranuras, filetes y todos los elementos necesarios para su correcta construccion.</t>
  </si>
  <si>
    <t>Aplicación de PINTURA A BASE DE AGUA EN MUROS, CON PINTURA TIPO KORAZA sobre muros exteriores revocados y/o estucados, tres manos o las necesarias hasta obtener una superficie pareja y homogénea. Incluye suministro y transporte de los materiales, resanes con el mismo material usado para revocar, adecuación de la superficie a intervenir hasta obtener una superficie pareja y homogénea, color a definir según aprobación de la interventoría.</t>
  </si>
  <si>
    <t>Suministro, Transporte e Instalación de MEDIACAÑA para cielos. Incluye perfil en pvc plástico de 6 cm, masilla y todos los demás elementos necesarios para su correcta instalación y funcionamiento.</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</si>
  <si>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</si>
  <si>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Construcción de PISO EN BALDOSA BLANCA DE GRANO GRIS No.1-2  DE 30 x 30 cm. de primera calidad aprobada por la interventoría que cumpla la norma NTC 2849. Incluye concreto de pega y nivelación 1:3:2 de cemento, arena de concreto, agregado de 3/8" a 1/2" y aditivo plastificante en un espesor de 5 cm, suministro y transporte de la baldosa, varilla de dilatación en aluminio en cuadrículas de  2,10 x 2,10 m., lechada del mismo color de la baldosa, destroncada, pulida, brillada y encerada en el sitio con cera polimérica,  protección de muros, puertas y desagües. Cargue, transporte y botada de material sobrante (cachaza) en botaderos oficiales. La interventoría entregará el diseño en tapetes o franjas. Los ensayos que se requieran serán por cuenta del contratista y las muestras se escogerán del material puesto en obra.</t>
  </si>
  <si>
    <t>Colocación de ENCHAPE CERÁMICO PARED BLANCO MATE DE 30 x 60 cm. Incluye suministro y transporte de los materiales, mortero adhesivo para enchapes tipo pegacor o equivalente, lechada preparada (boquilla) tipo concolor de sumicol o equivalente del mismo color del enchape, moldura PVC remates toro acolillada y todos los elementos necesarios para su correcta instalación y funcionamiento.</t>
  </si>
  <si>
    <t>Construccion de mamposteria en bloque de concreto 13MPa para sobrecimiento, de 0,15x0,20x0,40m. Incluye suministro y transporte del bloque, mortero de pega, trabas, columnas, machones, cuchillas, buitrones (para bajantes de redes en general), remates de enrases, encorozados, aticos y chapas necesarias por detalles de construccion. todos los cortes seran realizados a maquina.</t>
  </si>
  <si>
    <t>Construccion de mamposteria en bloque de concreto 13MPa para sobrecimiento, de 0,20x0,20x0,40m. Incluye suministro y transporte del bloque, mortero de pega, trabas, columnas, machones, cuchillas, buitrones (para bajantes de redes en general), remates de enrases, encorozados, aticos y chapas necesarias por detalles de construccion. todos los cortes seran realizados a maquina.</t>
  </si>
  <si>
    <t>Ruanas calibre 20. Incluye suministro, transprte e instalacion del elemento, mano de obra, desarrollo de 0,30m, gancho externo e interno, soldadura, sello con material elastico tipo poliuretano, herramienta, equipo y todos los elementos necesarios para su correcta instalacion.</t>
  </si>
  <si>
    <t>Construccion de caballetes. Incluye suministro, transorte e instalacion de todos los materiales necesarios, mano de obra, herramienta, equipo y todos los materiales necesarios para su correcta instalacion.</t>
  </si>
  <si>
    <t>SUMINISTRO Y COLOCACIÓN DE MANTO IMPERMEABLE TIPO P4 DE 4 MM DE ESPESOR, High performance pro de fiberglass o su equivalente, base en asfaltos modificados con polímeros, copolímeros y elastómeros termoplásticos de amplio rango de especificación y llenantes minerales; para cubiertas en teja de barro. Incluye: Manto P4- 4 mm tipo fiberglass o su equivalente, imprimación con emulsión asfáltica, el equipo necesario para realizar la actividad, transporte vertical, transporte horizontal, y  todos los materiales  y elementos necesarios para su correcta instalación y funcionamiento.</t>
  </si>
  <si>
    <t>SUMINISTRO E INSTALACIÓN DE TEJA NUEVA Y POSTERIOR ALINEACIÓN, incluye: teja de barro maquinada tipo española de 40x20 cm (23 Unidades por m2), herramienta y equipo necesario para realizar la actividad,  línea de vida, transporte vertical, transporte horizontal y todos los materiales y elementos necesarios para su correcta instalación y funcionamiento.</t>
  </si>
  <si>
    <t>Alfardas de abarco de 2"x4" medida comercial. Incluye suministro, transporte e instalacion del elemento en madera pulida de abarco o similar, herramienta, equipo, tornillos, clavos y todos los demas elementos y materiales necesarios para su correcta instalacion.</t>
  </si>
  <si>
    <t>Viga carguera de abarco de 4"x8" medida comercial. Incluye suministro, transporte e instalacion del elemento en madera pulida de abarco o similar, herramienta, equipo, tornillos, clavos y todos los demas elementos y materiales necesarios para su correcta instalacion.</t>
  </si>
  <si>
    <t>EMBOQUILLADO DE CABALLETE, Incluye: Suministro de los materiales, mano de obra, teja, mortero 1:4, aditivo impermeabilizante para mortero, herramienta y equipo necesario para realizar la actividad, elementos de trabajo en alturas certificados, transporte vertical, transporte horizontal  y todos los materiales y elementos necesarios para su correcta instalación y funcionamiento.</t>
  </si>
  <si>
    <t>PINTURA DE ACABADO TIPO IMPRA O EQUIVALENTE PARA APLICARSE SOBRE TABLILLA (color a definir) Incluye: Suministro de todos los materiales, transporte y aplicación las manos que sean necesarias para un tono óptimo, se debe plicar por todas las caras de la tablilla. El color debe ser el indicado por la interventoría.</t>
  </si>
  <si>
    <t>Suministro, transporte y colocación de cielo falso en drywall. (altura anclaje hasta 4.0 m) Incluye, placa yeso 1/2", masillado, pintura 3 manos, perfilería galvanizada para soporte con distancia de 61 cm, chazos, clavos, cintas, ángulos, cortes, andamios, canes y todo los demás elementos  necesario para su correcta instalación y funcionamiento.</t>
  </si>
  <si>
    <t>Tablilla de pino patula inmunizada. Incluye suministro, transporte e instalacion del elemento machimbrado, clavos y puntillas, herramienta, equipo y todos los elementos y materiales necesarios para su correcta instalacion.</t>
  </si>
  <si>
    <t>Red de desagües</t>
  </si>
  <si>
    <t>S,T y C de Tuberia PVCS Ø 4".</t>
  </si>
  <si>
    <t>S,T y C de Tuberia PVCS Ø 3".</t>
  </si>
  <si>
    <t>S,T y C de Tuberia PVCS Ø 2".</t>
  </si>
  <si>
    <t>S,T y C de Tuberia PVC-P RDE 21 Ø 1". (DESAGUES EQUIPOS AA, EN MURO)</t>
  </si>
  <si>
    <t>S,T y C de Tuberia PVC-VENTILACIÓN Ø 2".</t>
  </si>
  <si>
    <t xml:space="preserve">S. T. y C de Salida sanitaria de 2": El punto sanitario o salida incluye la tubería y accesorios desde el ramal principal que recibe, hasta la boca para conexión del aparato en una longitud hasta de 3,0m. Para longitudes mayores se pagará por metro el tramo adicional. </t>
  </si>
  <si>
    <t xml:space="preserve">S. T. y C de Salida sanitaria de 3": El punto sanitario o salida incluye la tubería y accesorios desde el ramal principal que recibe, hasta la boca para conexión de canoas, en una longitud hasta de 3,0m. Para longitudes mayores se pagará por metro el tramo adicional. </t>
  </si>
  <si>
    <t xml:space="preserve">S. T. y C de Salida sanitaria de 4": El punto sanitario o salida incluye la tubería y accesorios desde el ramal principal que recibe, hasta la boca para conexión del aparato en una longitud hasta de 3,0m. Para longitudes mayores se pagará por metro el tramo adicional. </t>
  </si>
  <si>
    <t>Caja de inspección de  0.50 X 0.50 X H hasta 1,0m de profundidad, vacíada en sitio en concreto de  f´c de 210 kg/cm2 impermeabilizado con plastoclete DM + fibra, muros de 0.10m, incluye tapa y cañuela.</t>
  </si>
  <si>
    <t>Lleno apizonado en zanjas con material de la misma excavación.</t>
  </si>
  <si>
    <t>Red de suministro</t>
  </si>
  <si>
    <t>S,T y C de Tuberia PVCP RDE 11 Ø 3/4" incluye accesorios.</t>
  </si>
  <si>
    <t>S,T y C de Tuberia PVCP RDE 9 Ø 1/2" incluye accesorios.</t>
  </si>
  <si>
    <t>S,T y C de salida PVCP Ø 1/2": La salida hidráulica o punto hidráulico incluye la tubería y accesorios desde la red horizontal principal hasta el paral en una longitud hasta 3,0m. Incluye la cámara de aire, (L=0,30m) Para longitudes mayores se pagará por metro el tramo adicional.</t>
  </si>
  <si>
    <t>Caja para válvula de  0.50 X 0.50 X 0,40m de profundidad, vacíada en sitio en concreto de  f´c de 210 kg/cm2 impermeabilizado con plastoclete DM + fibra, muros de 0.10m, incluye tapa.</t>
  </si>
  <si>
    <t>S,T y C de valvula de compuerta Ø 3/4", Tipo Red White.</t>
  </si>
  <si>
    <t>S,T y C de Tuberia PVCS Ø 1 1/2".</t>
  </si>
  <si>
    <t xml:space="preserve">S. T. y C de Salida sanitaria de 1 1/2": El punto sanitario o salida incluye la tubería y accesorios desde el ramal principal que recibe, hasta la boca para conexión del aparato en una longitud hasta de 3,0m. Para longitudes mayores se pagará por metro el tramo adicional. </t>
  </si>
  <si>
    <t>Suministro, transporte e instalación de terminal con L = 0.15m y con camara de aire h = 0.30m, en tuberia de cobre, con un DIÁMETRO DE 1/2". Incluye suministro y transporte de los materiales, canchada de muros y resane en mortero, accesorios de PVC y cobre, sellante, soldadura, teflón, y todo lo necesario para su correcta instalación y funcionamiento.</t>
  </si>
  <si>
    <t>13.1.1</t>
  </si>
  <si>
    <t>13.1.2</t>
  </si>
  <si>
    <t>13.1.3</t>
  </si>
  <si>
    <t>13.1.4</t>
  </si>
  <si>
    <t>13.1.5</t>
  </si>
  <si>
    <t>13.1.6</t>
  </si>
  <si>
    <t>13.1.7</t>
  </si>
  <si>
    <t>13.1.8</t>
  </si>
  <si>
    <t>13.1.9</t>
  </si>
  <si>
    <t>13.1.10</t>
  </si>
  <si>
    <t>13.1.11</t>
  </si>
  <si>
    <t>13.1.12</t>
  </si>
  <si>
    <t>13.1.13</t>
  </si>
  <si>
    <t>13.1.14</t>
  </si>
  <si>
    <t>13.2.1</t>
  </si>
  <si>
    <t>13.2.2</t>
  </si>
  <si>
    <t>13.2.3</t>
  </si>
  <si>
    <t>13.2.4</t>
  </si>
  <si>
    <t>13.2.5</t>
  </si>
  <si>
    <t>13.2.6</t>
  </si>
  <si>
    <t>Suministro, transporte y colocacion de concreto de 3000psi (21MPa) para columnetas de 0,25x0,25m. Incluye transporte interno (vertical y horizontal y en las zonas aferentes dentro de la obra), armado y desarmado de la obra falsa y formaleta completa, proteccion, curado y todos los demas elementos necesarios para su correcta construccion, no incluye refuerzo.</t>
  </si>
  <si>
    <t>Suministro, transporte y colocacion de concreto de 3000psi (21MPa) para losa de contrapiso de espesor 0,10m. Incluye transporte interno (vertical y horizontal y en las zonas aferentes dentro de la obra), armado y desarmado de la obra falsa y formaleta completa, proteccion, curado y todos los demas elementos necesarios para su correcta construccion, no incluye refuerzo.</t>
  </si>
  <si>
    <t>14.1</t>
  </si>
  <si>
    <t>14.2</t>
  </si>
  <si>
    <t>14.3</t>
  </si>
  <si>
    <t>14.4</t>
  </si>
  <si>
    <t>14.5</t>
  </si>
  <si>
    <t>14.6</t>
  </si>
  <si>
    <t>14.7</t>
  </si>
  <si>
    <t>14.8</t>
  </si>
  <si>
    <t>14.9</t>
  </si>
  <si>
    <t>Suministro, transporte y colocación de sanitarios discapacitados Acuajet, color blanco, abasto metálico, válvula de regulación metálica con manguera flexible y acabado cromado, brida de fijación con tapón roscado, emboquillado con silicona antihongos y todos los demás elementos necesarios para su correcta instalación y funcionamiento.</t>
  </si>
  <si>
    <t>Suministro e instalación de Lavaescobas fabricado en acero inoxidable.calibre 18, con estructura en tubería cuadrada en acero inoxidable de 1 1/2". Profundidad del tanque 308mm. Incluye todos los demás elementos necesarios para su correcta instalación y funcionamiento.</t>
  </si>
  <si>
    <t>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t>
  </si>
  <si>
    <t>Suministro, transporte y colocación de espejo en cristal de 6mm de 1m x1,20m, con inclinacion para personas con movilidad reducida. ubicados en unidades sanitarias. Incluye marco en aluminio anodizado natural mate de 1 1/2" con pisavidrio de 1" y empaque de caucho. pulida de bordes, cinta doble faz, pega amarilla, silicona antihongos, y todos los demás elementos necesarios para su correcta instalación.</t>
  </si>
  <si>
    <t>Suministro, transporte y colocación de barra de seguridad ABATIBLE para discapacitados, con una longitud de 70 cm. en acero inoxidable 304, calibre 18", con diámetro de 1 1/4", distancia de la pared 1 1/2". Incluye pernos para anclaje, escudos en acero inoxidable y todos los elementos necesarios para su correcta instalación y funcionamiento, según diseño.</t>
  </si>
  <si>
    <t>Suministro, transporte y colocación de barra de seguridad para discapacitados, con una longitud de 60 cm. y un diámetro de 1¼" en acero inoxidable. Incluye pernos para anclaje, escudos en acero inoxidable y todos los elementos necesarios para su correcta instalación y funcionamiento, según diseño.</t>
  </si>
  <si>
    <t>Suministro, transporte y colocación de guardacamillas, en vinilo, con parachoques continuo, altura 0,20m, referencia 700de Decodepot o similar. Incluye pernos para anclaje y todos los elementos necesarios para su correcta instalación y funcionamiento, según diseño.</t>
  </si>
  <si>
    <t>10.2</t>
  </si>
  <si>
    <t>10.3</t>
  </si>
  <si>
    <t>10.4</t>
  </si>
  <si>
    <t>10.5</t>
  </si>
  <si>
    <t>15.1</t>
  </si>
  <si>
    <t>15.2</t>
  </si>
  <si>
    <t>15.3</t>
  </si>
  <si>
    <t>15.4</t>
  </si>
  <si>
    <t>15.5</t>
  </si>
  <si>
    <t>15.6</t>
  </si>
  <si>
    <t>15.7</t>
  </si>
  <si>
    <t>15.8</t>
  </si>
  <si>
    <t>Bloque Concreto R13 de DIVISORIO INTERMEDIO 15 x 20x 40  puesto en obra</t>
  </si>
  <si>
    <t>Bloque Concreto R13 de DIVISORIO INTERMEDIO 20 x 20x 40  puesto en obra</t>
  </si>
  <si>
    <t>9.3</t>
  </si>
  <si>
    <t>9.4</t>
  </si>
  <si>
    <t>9.5</t>
  </si>
  <si>
    <t>9.6</t>
  </si>
  <si>
    <t>Eucon LV parte A</t>
  </si>
  <si>
    <t>Eucon LV parte B</t>
  </si>
  <si>
    <t>Estucor estuco plástico 30 kg Corona</t>
  </si>
  <si>
    <t>Lija de agua 150 super</t>
  </si>
  <si>
    <t>Pintura vinilo tipo Koraza o equivalente</t>
  </si>
  <si>
    <t>Mediacaña pvc de 6cm.</t>
  </si>
  <si>
    <t>Masilla</t>
  </si>
  <si>
    <t>Ganchos de fijacion</t>
  </si>
  <si>
    <t>Baldosa de fondo Gris con grano Blanco 1-2 de 30x30 cm. Incluye desperdicio y transporte.</t>
  </si>
  <si>
    <t>Concreto de pega y nivelación 1:3:2, cemento, arena de concreto y agregado de 3/8"-1/2". Preparado en obra.</t>
  </si>
  <si>
    <t>Lechada preparada</t>
  </si>
  <si>
    <t>Malla Plástica Negra tipo gallinero</t>
  </si>
  <si>
    <t>Varilla de dilatación PVC 5 mm x 40 mm.</t>
  </si>
  <si>
    <t>Cera Polimérica líquida para pisos.</t>
  </si>
  <si>
    <t>lt</t>
  </si>
  <si>
    <t>Eucon R200, aditivo plastificante de concreto. Presentación por 20 Kg. Incluye transporte.</t>
  </si>
  <si>
    <t>Mortero 1:4 en obra</t>
  </si>
  <si>
    <t>Varilla de dilatación de aluminio de 3 mm.</t>
  </si>
  <si>
    <t>Zócalo mediacaña de aluminio, e=3mm. Incluye transporte.</t>
  </si>
  <si>
    <t>Cemento de color, en saco de 25 kg. Incluye transporte.</t>
  </si>
  <si>
    <t>saco</t>
  </si>
  <si>
    <t>Grano preparado</t>
  </si>
  <si>
    <t xml:space="preserve">Adhesivo cerámico Pegacor gris - Corona </t>
  </si>
  <si>
    <t xml:space="preserve">Boquilla Blanca (concolor 5-15)- Sumicol. </t>
  </si>
  <si>
    <t>Ceramica pared egeo de 30 x 60 cm. Blanca tipo Corona</t>
  </si>
  <si>
    <t>Junta en aluminio</t>
  </si>
  <si>
    <t>Sistema de sujecion</t>
  </si>
  <si>
    <t>12.4</t>
  </si>
  <si>
    <t>12.5</t>
  </si>
  <si>
    <t>12.6</t>
  </si>
  <si>
    <t>12.7</t>
  </si>
  <si>
    <t>12.8</t>
  </si>
  <si>
    <t>12.9</t>
  </si>
  <si>
    <t>12.10</t>
  </si>
  <si>
    <t>12.11</t>
  </si>
  <si>
    <t>Viga carguera de abarco de 4"x8" medida comercial</t>
  </si>
  <si>
    <t>Alfardas de abarco de 2"x4" medida comercial.</t>
  </si>
  <si>
    <t>Tablilla de pino patula</t>
  </si>
  <si>
    <t>Clavos 1 1/2"</t>
  </si>
  <si>
    <t>Inmunizante para madera</t>
  </si>
  <si>
    <t>Teja de barro tipo española</t>
  </si>
  <si>
    <t>Cemento gris</t>
  </si>
  <si>
    <t>Brocha 3"</t>
  </si>
  <si>
    <t>PINTURA DE ACABADO TIPO IMPRA</t>
  </si>
  <si>
    <t>Kit respirador 2 vias</t>
  </si>
  <si>
    <t>MANTO IMPERMEABLE TIPO P4 DE 4 MM DE ESPESOR, High performance pro de fiberglass</t>
  </si>
  <si>
    <t>Gas propano</t>
  </si>
  <si>
    <t>Ruanas calibre 20.</t>
  </si>
  <si>
    <t>Canoas calibre 20. Incluye suministro, transprte e instalacion del elemento, mano de obra, desarrollo de 1,00m, gancho externo e interno, soldadura, sello con material elastico tipo poliuretano, herramienta, equipo y todos los elementos necesarios para su correcta instalacion.</t>
  </si>
  <si>
    <t>Ángulo perimetral calibre 26, longitud 2.44 m,  para cielo raso en Drywall</t>
  </si>
  <si>
    <t>Tornillo de 7 x 7/16"</t>
  </si>
  <si>
    <t>Perfil Viguetas cal. 26 de 2.44m</t>
  </si>
  <si>
    <t>Perfil Omega 63 Cal. 26 de 2,44m</t>
  </si>
  <si>
    <t>Tornillo standar de 6 x 1"</t>
  </si>
  <si>
    <t>Tornillo extraplano</t>
  </si>
  <si>
    <t>cinta papel rollo x 75ml</t>
  </si>
  <si>
    <t>Masilla acrílica para interiores en  drywall (5galones)</t>
  </si>
  <si>
    <t>Ángulo de cuelga,  para cielo raso en Drywall</t>
  </si>
  <si>
    <t>Placa stándar en yeso para paredes, cielos de Drywall (1.22*2.44*12.7 m.m (1/2"))</t>
  </si>
  <si>
    <t>Suministro, transporte e instalacion de tuberia PVC-S de 4".</t>
  </si>
  <si>
    <t xml:space="preserve">TUB. PVC-S Ø 4"  </t>
  </si>
  <si>
    <t>Suministro, transporte e instalacion de tuberia PVC-S de 3".</t>
  </si>
  <si>
    <t xml:space="preserve">TUB. DE PVC-S Ø 3"  </t>
  </si>
  <si>
    <t>Suministro, transporte e instalacion de tuberia PVC-S de 2".</t>
  </si>
  <si>
    <t xml:space="preserve">TUB. DE PVC-S Ø 2"  </t>
  </si>
  <si>
    <t>Suministro, transporte e instalacion de tuberia PVC-S de 1 1/2".</t>
  </si>
  <si>
    <t xml:space="preserve">TUB. DE PVC-S Ø 1 1/2"  </t>
  </si>
  <si>
    <t xml:space="preserve">TUB. DE PVC-P RDE 21 Ø 1"  </t>
  </si>
  <si>
    <t>TUB. DE PVC-VENTILACIÓN Ø 2".</t>
  </si>
  <si>
    <t>ACC. PVC 1 1/2"</t>
  </si>
  <si>
    <t>TUB. DE PVC-S Ø 2".</t>
  </si>
  <si>
    <t>ACC. PVC Ø 2"</t>
  </si>
  <si>
    <t>TUB. DE PVC-S Ø 3".</t>
  </si>
  <si>
    <t>ACC. PVC Ø 3"</t>
  </si>
  <si>
    <t xml:space="preserve">S. T. y C de Salida sanitaria de 4": El punto sanitario o salida incluye la tubería y accesorios desde el ramal principal que recibe, hasta la boca para conexión de canoas, en una longitud hasta de 3,0m. Para longitudes mayores se pagará por metro el tramo adicional. </t>
  </si>
  <si>
    <t>TUB. DE PVC-S Ø 4".</t>
  </si>
  <si>
    <t>ACC. PVC Ø 4"</t>
  </si>
  <si>
    <t xml:space="preserve">TUB. DE PVC-P RDE 21 Ø 3/4"  </t>
  </si>
  <si>
    <t>S,T y C de Tuberia PVCP RDE 11 Ø 1/2" incluye accesorios.</t>
  </si>
  <si>
    <t xml:space="preserve">TUB. DE PVC-P RDE 21 Ø 1/2"  </t>
  </si>
  <si>
    <t>ACC. PVC 1/2"</t>
  </si>
  <si>
    <t>TUB. DE PVC-S Ø 1/2".</t>
  </si>
  <si>
    <t>ACC. PVC 3/4"</t>
  </si>
  <si>
    <t>Valvula de compuerta Ø 3/4"</t>
  </si>
  <si>
    <t>TUB. DE COBRE Ø 1/2".</t>
  </si>
  <si>
    <t>ACC. COBRE 1/2"</t>
  </si>
  <si>
    <t>SOLDADURA</t>
  </si>
  <si>
    <t>FUNDENTE</t>
  </si>
  <si>
    <t>.</t>
  </si>
  <si>
    <t>Brida sanitaria de fijación 4", incluye empaque de caucho y tornillos de fijación</t>
  </si>
  <si>
    <t>Soldadura PVC (Unión simple) 1/4</t>
  </si>
  <si>
    <t>Limpiador Removedor PVC x 1/4 de galón.</t>
  </si>
  <si>
    <t>Tapón rosca para brida de fijación</t>
  </si>
  <si>
    <t>Silicona antihongos. Presentacion 300cc Rendimiento de 8ml/en junta de 6mm x 6mm</t>
  </si>
  <si>
    <t>Sanitario Corona ref: Acuajet</t>
  </si>
  <si>
    <t>V	ávula de regulación metálica</t>
  </si>
  <si>
    <t>Manguera flexible metalica</t>
  </si>
  <si>
    <t>Suministro, transporte y colocación de sanitarios discapacitados Acuajet, color blanco, abasto metálico, válvula de regulación metálica con manguera flexible metalica y acabado cromado, brida de fijación con tapón roscado, emboquillado con silicona antihongos y todos los demás elementos necesarios para su correcta instalación y funcionamiento.</t>
  </si>
  <si>
    <t>Sifón botella lavamanos</t>
  </si>
  <si>
    <t>Grifería metálica, acabado cromado, tipo push</t>
  </si>
  <si>
    <t>Lavamanos de sobreponer, tipo Acuajet</t>
  </si>
  <si>
    <t>estructura metalica para fijacion de lavamanos</t>
  </si>
  <si>
    <t>Suministro, transporte y colocación de lavamanos Acuajet, color blanco. Incluye grifería metálica con acabado cromado, grifería metálica tipo push de Corona o equivalente, abasto metálico acabado cromado, sifón botella, desague, estructura metalica para fijacion en muro, emboquillado con silicona antihongos y todos los demás elementos necesarios para su correcta instalación y funcionamiento.</t>
  </si>
  <si>
    <t>Lavaescobas fabricado en acero inoxidable.calibre 18, con estructura en tubería cuadrada en acero inoxidable de 1 1/2". Esquinero</t>
  </si>
  <si>
    <t>Suministro, transporte y colocación de lavamanos Avanti, color blanco, para consultorio. Incluye grifería metálica con acabado cromado, grifería metálica tipo push de Corona o equivalente, abasto metálico acabado cromado, sifón botella, desague, emboquillado con silicona antihongos y todos los demás elementos necesarios para su correcta instalación y funcionamiento.</t>
  </si>
  <si>
    <t>Lavamanos de sobreponer, tipo Avanti</t>
  </si>
  <si>
    <t>Llave boca manguera</t>
  </si>
  <si>
    <t>Teflon</t>
  </si>
  <si>
    <t>Cinta doble faz de 12 mm. x 10 m. Transparente.</t>
  </si>
  <si>
    <t>rollo</t>
  </si>
  <si>
    <t>Pegante amarillo tipo sacol</t>
  </si>
  <si>
    <t>Pulida bordes vidrios y/o espejos</t>
  </si>
  <si>
    <t>Espejo en cristal de 6 mm.</t>
  </si>
  <si>
    <t>Barra de seguridad ABATIBLE para discapacitados, con una longitud de 70 cm. en acero inoxidable 304, calibre 18", con diámetro de 1 1/4", distancia de la pared 1 1/2".</t>
  </si>
  <si>
    <t>Perno expansión c/ tuerca y golilla. 1/2 x 4. 1/4. Laprox.= 10 cm.</t>
  </si>
  <si>
    <t>Soportes para Discapacitados de L=60 cm. Ø= 1¼" en Acero Inoxidable.</t>
  </si>
  <si>
    <t>Perno de expansión ref TEA08x075 de 3/8"X 3". Marca mecano o equivalente</t>
  </si>
  <si>
    <t>Guardacamillas en vinilo ref: 700</t>
  </si>
  <si>
    <t>16.1</t>
  </si>
  <si>
    <t>Equipos de aire acondicionado</t>
  </si>
  <si>
    <t>Compra, transporte, instalación y puesta en servicio de Unidad Condensadora de Aire con descarga vertical de 2 TR, para trabajar con refrigerante R410, compresor inverter a 220V/3 fases/60 Hz.Incluye: Eliminadores de vibración, filtro secador, visor de líquido, válvula de bola, temporizador, conexión  y demás accesorios necesarios para su correcta instalación y funcionamiento.</t>
  </si>
  <si>
    <t>Compra, transporte, instalación y puesta en servicio de Equipo Mini-Split  tipo Pared de 9000 BTU/h compresor INVERTER eficiencia mínima SEER 20, refrigerante Ecológico R410A;  220V/1 Fases/60 Hz. con función auto start  Incluye: Soportes, anclajes, elementos de sujeción, control remoto, cauchos antivibración, base para condensadora metálica  y demás accesorios necesarios para su correcta instalación y funcionamiento.</t>
  </si>
  <si>
    <t xml:space="preserve">Compra, transporte, instalación y puesta en servicio de Equipo Mini-Split  tipo Pared de 2 TR (24000 BTU/h), compresor INVERTER eficiencia mínima SEER 20, Refrigerante Ecológico R410A;  220V/1 Fases/60 Hz. Incluye: soportes, anclajes, control remoto,  cauchos anti vibración, condensadora  y demás elementos necesarios para su correcta instalación y funcionamiento. </t>
  </si>
  <si>
    <t>16.1.1</t>
  </si>
  <si>
    <t>16.1.2</t>
  </si>
  <si>
    <t>16.1.3</t>
  </si>
  <si>
    <t>16.1.4</t>
  </si>
  <si>
    <t>16.2</t>
  </si>
  <si>
    <t>Tuberia de cobre</t>
  </si>
  <si>
    <t xml:space="preserve">Compra, transporte, instalación y puesta en servicio de Tubería rígida de cobre tipo "L" de diametro 3/8" aislada con rubatex de 1/2" de espesor. Incluye: Soportes (tipo mensula, cuelga, correa o cualquier otro necesaio), soldadura, anclajes, elementos de sujeción, codos, uniones, cinta FOAM, chaqueta de PVC pintada de negro,  y demás accesorios necesarios para su correcta instalación y funcionamiento. </t>
  </si>
  <si>
    <t xml:space="preserve">Compra, transporte, instalación y puesta en servicio de Tubería rígida de cobre tipo "L" de diametro 5/8" aislada con rubatex de 1/2" de espesor. Incluye: Soportes (tipo mensula, cuelga, correa o cualquier otro necesaio), anclajes, elementos de sujeción, codos, uniones, cinta FOAM, chaqueta de PVC pintada de negro,  y demás accesorios necesarios para su correcta instalación y funcionamiento. </t>
  </si>
  <si>
    <t>16.2.1</t>
  </si>
  <si>
    <t>16.2.2</t>
  </si>
  <si>
    <t>16.2.3</t>
  </si>
  <si>
    <t>16.3</t>
  </si>
  <si>
    <t>Ductos</t>
  </si>
  <si>
    <t>Kg</t>
  </si>
  <si>
    <t>Compra, transporte, instalación y puesta en servicio de Conductos  en lámina rígida de poliisocianurato de 30 mm de espesor,  revestido por ambas caras con una lámina de aluminio   con  tratamiento antimicrobiano en su cara interna (liso/gofrado) .  Incluye: Soporteria  (tipo ménsula, cuelga, correa, o cualquier otro requerido), elementos de sujeción, anclajes, silicona, pega, cinta metálica y demás accesorios necesarios para su correcta instalación y funcionamiento.</t>
  </si>
  <si>
    <t xml:space="preserve">Compra, transporte instalación y puesta en servicio de Conductos en lámina galvanizada calibre 24.  Incluye: Soporteria (tipo ménsula, cuelga, correa, varilla,  o cualquier otro requerido), elementos de sujeción, anclajes, sellante, esquineros, tornillería y demás accesorios necesarios para su correcta instalación y funcionamiento. </t>
  </si>
  <si>
    <t>16.3.1</t>
  </si>
  <si>
    <t>16.3.2</t>
  </si>
  <si>
    <t>16.4</t>
  </si>
  <si>
    <t>Rejillas</t>
  </si>
  <si>
    <t xml:space="preserve">Compra, transporte, instalación y puesta en servicio de Rejilla de Suministro tipo doble aleta de 12" x 6" con control de volumen de aletas opuestas accionado por piñon. Incluye: Elementos de fijación y demas accesorios necesarios para su correcta instalación y funcionamiento </t>
  </si>
  <si>
    <t xml:space="preserve">Compra, transporte, instalación y puesta en servicio de Rejilla retorno, extraccion o aire exterior tipo barras frontales fijas a 35° de 14" x  10" con control de volumen de aletas opuestas con accionamiento por piñón. Incluye: Elementos de fijación y demas accesorios necesarios para su correcta instalación y funcionamiento </t>
  </si>
  <si>
    <t>16.4.1</t>
  </si>
  <si>
    <t>16.4.2</t>
  </si>
  <si>
    <t>16.5</t>
  </si>
  <si>
    <t>Balanceo del sistema de distribucion de aire</t>
  </si>
  <si>
    <t>Balanceamiento de sistemas de distribución de aire, ventilación y aire acondicionado. Incluye: balómetro o anenómetro, toma de medidas, supervisión e informe.</t>
  </si>
  <si>
    <t>16.5.1</t>
  </si>
  <si>
    <t>Compra, transporte, instalación y puesta en servicio de Cable encauchetado para comunicación para equipos mini split y split. Incluye: terminales, Elementos de fijación y marcación.</t>
  </si>
  <si>
    <t>Compra, transporte, instalación y puesta en servicio de Termostato digital programable  . Incluye: guarda termostato, conexión, configuración y pruebas.</t>
  </si>
  <si>
    <t>16.6</t>
  </si>
  <si>
    <t>Comunicación y control</t>
  </si>
  <si>
    <t>16.6.1</t>
  </si>
  <si>
    <t>16.6.2</t>
  </si>
  <si>
    <t>soladadura 0%</t>
  </si>
  <si>
    <t>gas de soldadura</t>
  </si>
  <si>
    <t>pipeta</t>
  </si>
  <si>
    <t>Soportería, elementos de sujeción</t>
  </si>
  <si>
    <t>pega XL</t>
  </si>
  <si>
    <t>soladadura 5%</t>
  </si>
  <si>
    <t>chaqueta de PVC</t>
  </si>
  <si>
    <t>Tuberia de cobre tipo L de 3/8"</t>
  </si>
  <si>
    <t>Rubatex 1/2</t>
  </si>
  <si>
    <t>Tuberia de cobre tipo L de 5/8"</t>
  </si>
  <si>
    <t>lámina Galvanizada</t>
  </si>
  <si>
    <t>Pegante P25 o similar</t>
  </si>
  <si>
    <t>Gl</t>
  </si>
  <si>
    <t>Tornillo autoperforante</t>
  </si>
  <si>
    <t>Varilla roscada de 3/8</t>
  </si>
  <si>
    <t>pintura electrostatica</t>
  </si>
  <si>
    <t>Rejilla</t>
  </si>
  <si>
    <t>Gal</t>
  </si>
  <si>
    <t>ALAMBRE DULCE GALV CALIBRE 20</t>
  </si>
  <si>
    <t>Balanceamiento de sistemas de distribución de aire, ventilación y aire acondicionado</t>
  </si>
  <si>
    <t>Cable encauchetado 3 x 16</t>
  </si>
  <si>
    <t xml:space="preserve">Termostato digital programable </t>
  </si>
  <si>
    <t>Ducto lámina rígida</t>
  </si>
  <si>
    <t>Aislamiento en plomo</t>
  </si>
  <si>
    <t>17.1</t>
  </si>
  <si>
    <t>17.2</t>
  </si>
  <si>
    <t>Suminsitro e instamación de aislamiento en plomo de 2mm a instalarse en piso para aislamiento de zona de archivo en segundo piso</t>
  </si>
  <si>
    <t>Suministro e instalacion de piso laminado para instalar flotado sobre proteccion de plomo en piso.</t>
  </si>
  <si>
    <t xml:space="preserve">MUROS EN BLOQUE </t>
  </si>
  <si>
    <t>Construccion de mamposteria</t>
  </si>
  <si>
    <t>Revoque de muros</t>
  </si>
  <si>
    <t>Estuco sobre muros</t>
  </si>
  <si>
    <t>Pintura sobre muros</t>
  </si>
  <si>
    <t>Muro en drywall 1 cara acabado en masilla y pintura</t>
  </si>
  <si>
    <t>AISLAMIENTO EN PLOMO</t>
  </si>
  <si>
    <t>Groutin de relleno</t>
  </si>
  <si>
    <t>Concreto para embebido de columnas</t>
  </si>
  <si>
    <t>11.3</t>
  </si>
  <si>
    <t>11.4</t>
  </si>
  <si>
    <t>11.5</t>
  </si>
  <si>
    <t>11.6</t>
  </si>
  <si>
    <t>11.7</t>
  </si>
  <si>
    <t>Suministro, transporte e instalacion de venatana V1 según detalle</t>
  </si>
  <si>
    <t>Suministro, transporte e instalacion de venatana V2 según detalle</t>
  </si>
  <si>
    <t>11.8</t>
  </si>
  <si>
    <t>11.9</t>
  </si>
  <si>
    <t>11.10</t>
  </si>
  <si>
    <t>11.11</t>
  </si>
  <si>
    <t>11.12</t>
  </si>
  <si>
    <t>11.13</t>
  </si>
  <si>
    <t>Mueble según detalle M01</t>
  </si>
  <si>
    <t>Mueble según detalle M02</t>
  </si>
  <si>
    <t>Mueble según detalle M03</t>
  </si>
  <si>
    <t>Mueble según detalle M04</t>
  </si>
  <si>
    <t>Mueble según detalle M05</t>
  </si>
  <si>
    <t>Silla interlocutora, sin brazos, estructura tubería diámetro CR 7/8 calibre 16, espaldar y asiento en polipropileno inyectado, referencia Mia de Muma o equivalente, color negro.</t>
  </si>
  <si>
    <t>und</t>
  </si>
  <si>
    <t xml:space="preserve">Silla operativa Silla operativa giratoria de espaldar alto, ergonómica, mecanismo de contacto permanente, reclinación y altura regulable de espalda, con brazos; Referencia Frodo de Muma o equivalente color negro. </t>
  </si>
  <si>
    <t>Suministro de tandem de tres puestos</t>
  </si>
  <si>
    <t xml:space="preserve">und </t>
  </si>
  <si>
    <t>AISLAMIENTO EN PLOMO Y COMPLEMENTOS</t>
  </si>
  <si>
    <t>AIRE ACONDICIONADO</t>
  </si>
  <si>
    <t>MOBILIARIO</t>
  </si>
  <si>
    <t>APARATOS SANITARIOS, GRIFERIAS Y MESONES</t>
  </si>
  <si>
    <t>HIDROSANITARIO</t>
  </si>
  <si>
    <t>CUBIERTA Y SISTEMAS LIVIANOS</t>
  </si>
  <si>
    <t>PUERTAS Y VENTANAS</t>
  </si>
  <si>
    <t>PISOS Y ENCHAPES</t>
  </si>
  <si>
    <t>REVOQUES, ESTUCO Y PINTURA</t>
  </si>
  <si>
    <t>MAMPOSTERIA</t>
  </si>
  <si>
    <t>ACERO DE REFUERZO</t>
  </si>
  <si>
    <t>CONCRETOS</t>
  </si>
  <si>
    <t>LLENOS</t>
  </si>
  <si>
    <t>EXCAVACIONES</t>
  </si>
  <si>
    <t>DEMOLICIONES</t>
  </si>
  <si>
    <t>RETIROS</t>
  </si>
  <si>
    <t>PRELIMINARES</t>
  </si>
  <si>
    <t>AISLAMIENTO EN MUROS</t>
  </si>
  <si>
    <t>UMA</t>
  </si>
  <si>
    <t>eliminadores de vibración</t>
  </si>
  <si>
    <t>Cuello en lámina con malla</t>
  </si>
  <si>
    <t>Pisa lona en lam galv</t>
  </si>
  <si>
    <t>Filtros 35-65-95</t>
  </si>
  <si>
    <t>Lona españa</t>
  </si>
  <si>
    <t>Tornillos</t>
  </si>
  <si>
    <t>Eliminadores de vibración</t>
  </si>
  <si>
    <t>herramienta menor</t>
  </si>
  <si>
    <t>%(m.o)</t>
  </si>
  <si>
    <t>Compra, transporte, instalación y puesta en servicio de Unidad Manejadora de Aire, horizontal,  para expansión directa, de 824 CFM, para uso exterior, doble pared de 2" de espesor, a 220V/3 fases/60 Hz.Incluye: Conexión, Junta flexible en lona para conductos de suministro y retorno, pisa lona, elementos de sujeción, eliminadores de vibración, filtros lavables de 35%, filtros del 65% y del 95%, valvula de expansión para R410, motor montado sobre resortes, transmisión, puertas de inspección a la derecha, cauchos eliminadores de vibración, variador, transmisor de presion diferencial, gabinete de control y potencia, termostato, cableado y conexión  y demás accesorios necesarios para su correcta instalación y funcionamiento</t>
  </si>
  <si>
    <t>UCA</t>
  </si>
  <si>
    <t>izaje</t>
  </si>
  <si>
    <t>FILTRO</t>
  </si>
  <si>
    <t xml:space="preserve">VALVULA </t>
  </si>
  <si>
    <t>VISOR</t>
  </si>
  <si>
    <t>Evaporador y Condesadora  9000 BTU/h</t>
  </si>
  <si>
    <t>base para condensadora</t>
  </si>
  <si>
    <t xml:space="preserve">Compra, transporte, instalación y puesta en servicio de Equipo Mini-Split  tipo Pared de 9000 BTU/h compresor INVERTER eficiencia mínima SEER 16, refrigerante Ecológico R410A;  220V/1 Fases/60 Hz. con función auto start  Incluye: Soportes, anclajes, elementos de sujeción, control remoto, cauchos antivibración, base para condensadora metálica  y demás accesorios necesarios para su correcta instalación y funcionamiento. </t>
  </si>
  <si>
    <t>Manometros</t>
  </si>
  <si>
    <t>Boquilla soldadura</t>
  </si>
  <si>
    <t>Juego Flare</t>
  </si>
  <si>
    <t>Pinza Voltiamperimétrica</t>
  </si>
  <si>
    <t>% (m.o)</t>
  </si>
  <si>
    <t>Equipo de oxiacetileno</t>
  </si>
  <si>
    <t>Vacuómetro</t>
  </si>
  <si>
    <t>Termometro</t>
  </si>
  <si>
    <t>Bomba de Vacio</t>
  </si>
  <si>
    <t>16.2.4</t>
  </si>
  <si>
    <t>Compra, transporte, instalación y puesta en servicio de Equipo Mini-Split  tipo Pared de 2 TR (24000 BTU/h), compresor INVERTER eficiencia mínima SEER 20, Refrigerante Ecológico R410A;  220V/1 Fases/60 Hz. Incluye: soportes, anclajes, control remoto,  cauchos anti vibración, condensadora  y demás elementos necesarios para su correcta instalación y funcionamiento.</t>
  </si>
  <si>
    <t>Evaporador y Condesadora  2 TR (24000 BTU/h)</t>
  </si>
  <si>
    <t>Refrigerante ecológico 410 para aire acondicionado.</t>
  </si>
  <si>
    <t>Junta de construcción en piso, en aluminio, de incrustar dilatación de 25 a 75 mm, Serie 100 sistema de sello sencillo, referencia J101 A01 piso/piso de Decodepot o equivamente.</t>
  </si>
  <si>
    <t xml:space="preserve">Junta de construcción en piso, en aluminio, de incrustar dilatación de 25 a 75 mm, Serie 100 sistema de sello sencillo, referencia J101 A01 piso/piso de Decodepot o equivamente. </t>
  </si>
  <si>
    <t>Suministro, transporte y colocacion de concreto de 3000psi (21MPa) para alfajias de concreto vaciadas en sitio. Incluye transporte interno (vertical y horizontal y en las zonas aferentes dentro de la obra), armado y desarmado de la obra falsa y formaleta completa en super "T", proteccion, curado y todos los demas elementos necesarios para su correcta construccion, no incluye refuerzo.</t>
  </si>
  <si>
    <t>6.9</t>
  </si>
  <si>
    <t>10.6</t>
  </si>
  <si>
    <t>Construcción de FAJA EN GRANITO PULIDO Y BRILLADO DE COLOR IGUAL AL DE LA BALDOSA, ancho entre 30 y 35 cm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</si>
  <si>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Demolición de andenes o pisos, cargue, transporte y botada de escombros de espesores variables y acabados varables. Incluye retiro de cordones, retiro de enchape (baldosa, baldosin, forros en arenon, madera, vinilo, granito esmerilado, concreto, gres, entre otros), placa de concreto si existe, entresuelo de recebo. Incluye corte con maquina de disco segun trazado  compresor neumatico con martillo, ademas recuperacion de los materiales aprovechables o su transporte hasta donde se indique.</t>
  </si>
  <si>
    <t>Demolición de cañuela en concreto y botada de escombros de espesores variables y acabados variables. Incluye retiro de cordones, retiro de enchape (granito esmerilado, concreto, gres, entre otros), placa de concreto si existe, entresuelo de recebo. Incluye corte con máquina de disco según trazado compresor neumático con martillo, además recuperación de los materiales aprovechables o su transporte hasta donde se indique.</t>
  </si>
  <si>
    <t>Demolición de mampostería en ladrillo o en concreto de cualquier espesor. Incluye cargue, transporte y botada de escombros en botaderos oficiales, demolición de revoques, lagrimales, cortagoteras y enchapes aplicados en el muro a demoler e instalaciones embebidas, además recuperación de materiales aprovechables o su transporte hasta donde se indique, se debe usar cortadora para garantizar que los filetes de la demolición queden ortogonales.</t>
  </si>
  <si>
    <t>Excavación manual de material heterogéneo de 0-2m. Bajo cualquier grado de humedad. Incluye roca descompuesta, bolas de roca, cargue, transporte y botada en botaderos oficiales del material proveniente de la excavación o en el sitio donde se indique. No incluye entibado.</t>
  </si>
  <si>
    <t>Llenos en arenilla, compactados mecánicamente hasta obtener una densidad del 98% de la máxima obtenida en el ensayo del proctor modificado. Incluye el suministro, transporte y colocación de la arenilla, la compactación de la misma y el transporte interno, su medida será en sitio, ya compactada.</t>
  </si>
  <si>
    <t>Cargue, transporte y botada de escombros o material resultante de la excavación. Incluye el cargue, repleto, transporte interno y externo y botada de material tipo escombros en botaderos oficiales o en el sitio donde se indique.</t>
  </si>
  <si>
    <t>Suministro, transporte y colocación de concreto de 3000psi (21MPa) para vigas de fundación de 0,30x0, 30m. Incluye transporte interno (vertical y horizontal y en las zonas aferentes dentro de la obra), protección, curado y todos los demás elementos necesarios para su correcta construcción, no incluye refuerzo.</t>
  </si>
  <si>
    <t>Suministro, transporte y colocación de concreto de 3000psi (21MPa) para vigas aéreas para amarre de mampostería de 0,15x0,20m. Incluye transporte interno (vertical y horizontal y en las zonas aferentes dentro de la obra), armado y desarmado de la obra falsa y formaleta completa, protección, curado y todos los demás elementos necesarios para su correcta construcción, no incluye refuerzo.</t>
  </si>
  <si>
    <t>Suministro, transporte y colocación de concreto de 3000psi (21MPa) para andenes o pisos a la vista. Incluye transporte interno (vertical y horizontal y en las zonas aferentes dentro de la obra), formaleta, armado y desarmado de la obra falsa y formaleta completa, protección, curado y todos los demás elementos necesarios para su correcta construcción, no incluye refuerzo.</t>
  </si>
  <si>
    <t>Suministro, transporte y colocación de concreto de 3000psi (21MPa) para columnetas de 0,25x0,25m. Incluye transporte interno (vertical y horizontal y en las zonas aferentes dentro de la obra), formaleta, armado y desarmado de la obra falsa y formaleta completa, protección, curado y todos los demás elementos necesarios para su correcta construcción, no incluye refuerzo.</t>
  </si>
  <si>
    <t>Suministro, transporte y colocación de grouting en concreto (17,5MPa) para elementos no estructurales (dovelas, cintas, viguetas, entre otros). Incluye transporte interno (vertical y horizontal y en las zonas aferentes dentro de la obra), formaleta, armado y desarmado de la obra falsa y formaleta completa, protección, curado y todos los demás elementos necesarios para su correcta construcción, no incluye refuerzo.</t>
  </si>
  <si>
    <t>Anclaje químico estructural sobre muro pantalla de concreto, formado por barra corrugada N° 3 de diámetro y 65-70 cm de longitud de acero Grado 60 (fy=4200 kg/cm²), anclada 15-20 cm, fijada con Anclaje epoxico RE-500 Hilti o equivalente, Incluye espiral N°2 paso 35 mm (3 vueltas), perforación de concreto o estructura, limpieza, botada de escombros y todo lo necesario para su correcta instalación y funcionamiento.</t>
  </si>
  <si>
    <t>Suministro, transporte y colocación de concreto de 3000psi (21MPa) para cañuela. Incluye transporte interno (vertical y horizontal y en las zonas aferentes dentro de la obra), armado y desarmado de la obra falsa y formaleta completa en super "T", protección, curado, malla electro soldada D - 50 y todos los demás elementos necesarios para su correcta construcción, no incluye refuerzo.</t>
  </si>
  <si>
    <t>Suministro, transporte y colocación de concreto de 3000psi (21MPa) para alfajías de concreto vaciadas en sitio. Incluye transporte interno (vertical y horizontal y en las zonas aferentes dentro de la obra), armado y desarmado de la obra falsa y formaleta completa en super "T", protección, curado y todos los demás elementos necesarios para su correcta construcción, no incluye refuerzo.</t>
  </si>
  <si>
    <t>Suministro, transporte y colocación de concreto de 3000psi (21MPa) para losa de contrapiso de espesor 0,10m. Incluye transporte interno (vertical y horizontal y en las zonas aferentes dentro de la obra), armado y desarmado de la obra falsa y formaleta completa, protección, curado y todos los demás elementos necesarios para su correcta construcción, no incluye refuerzo.</t>
  </si>
  <si>
    <t>Suministro, transporte e instalación de acero de refuerzo figurado FY=420MPa - 60000psi, corrugado. Incluye transporte con descarga, transporte interno, alambre de amarre, certificado y todos los elementos necesarios para su correcta instalación, según diseño y recomendaciones estructurales.</t>
  </si>
  <si>
    <t>Suministro, transporte e instalación de malla electrosoldada tipo D - 106. Incluye todos los elementos necesarios para su correcta instalación</t>
  </si>
  <si>
    <t>Construcción de mampostería en bloque de concreto 13MPa, de 0,15x0,20x0,40m. Incluye suministro y transporte del bloque, mortero de pega, trabas, columnas, machones, cuchillas, buitrones (para bajantes de redes en general), remates de enrases, encorozados, áticos y chapas necesarias por detalles de construcción. Todos los cortes serán realizados a máquina.</t>
  </si>
  <si>
    <t>Construcción de mampostería en bloque de concreto 13MPa, de 0,20x0,20x0,40m. Incluye suministro y transporte del bloque, mortero de pega, trabas, columnas, machones, cuchillas, buitrones (para bajantes de redes en general), remates de enrases, encorozados, áticos y chapas necesarias por detalles de construcción. Todos los cortes serán realizados a máquina.</t>
  </si>
  <si>
    <t>Construcción de juntas de dilatación entre mampostería y elementos estructurales y no estructurales, entre concreto nuevo y existente. Incluye suministro, transporte e instalación de varilla de espuma de polietileno tipo sellalon, sikarod o equivalente, aplicación de masilla elástica sellante y adhesiva con base en poliuretano tipo sikaflx-1A o equivalente, junta máxima de 20mm de ancho, color similar al muro, además de todo lo necesario para su correcta construcción. Se deben seguir todas las especificaciones y recomendaciones de los fabricantes de los materiales.</t>
  </si>
  <si>
    <t>Colocación de revoque con mortero 1:4 en muros. Incluye suministro, transporte e instalación de los materiales, fajas, filetes y ranuras y todos los elementos necesarios para su correcta construcción.</t>
  </si>
  <si>
    <t>Colocación de revoque exterior con mortero 1:4 impermeabilizado en muros. Incluye suministro, transporte e instalación de los materiales, fajas, ranuras, filetes y todos los elementos necesarios para su correcta construcción.</t>
  </si>
  <si>
    <t>Colocación de ESTUCO ACRÍLICO PROFESIONAL, SOBRE MUROS REVOCADOS, 3 manos mínimo, o las que sea necesarias para obtener una superficie pareja y homogénea. Incluye suministro y transporte de los materiales, ranuras, filetes, dilataciones y todos los elementos necesarios para su correcta aplicación  funcionamiento.</t>
  </si>
  <si>
    <t>Suministro, Transporte e Instalación de MEDIACAÑA para cielos. Incluye perfil en PVC plástico de 6 cm, masilla y todos los demás elementos necesarios para su correcta instalación y funcionamiento.</t>
  </si>
  <si>
    <t>Suministro, transporte e instalación de sistema de protección e impermeabilización para evitar patologías en pisos por humedad ascendente (capilaridad) consistente en una capa sencilla de polietileno color negro calibre 4. Incluye suministro y transporte de los materiales, traslapos, costuras, y todos los elementos necesarios para su correcta instalación.</t>
  </si>
  <si>
    <t>Suministro, transporte e instalación de ventana V3 según detalle</t>
  </si>
  <si>
    <t>Suministro, transporte e instalación de ventana V4 según detalle</t>
  </si>
  <si>
    <t>Suministro, transporte e instalación de ventana V5 según detalle</t>
  </si>
  <si>
    <t xml:space="preserve">Suministro, transporte e instalación de puerta P1 según detalle </t>
  </si>
  <si>
    <t xml:space="preserve">Suministro, transporte e instalación de puerta P2 según detalle </t>
  </si>
  <si>
    <t xml:space="preserve">Suministro, transporte e instalación de puerta P3 según detalle </t>
  </si>
  <si>
    <t xml:space="preserve">Suministro, transporte e instalación de puerta P4 según detalle </t>
  </si>
  <si>
    <t xml:space="preserve">Suministro, transporte e instalación de puerta P5 según detalle </t>
  </si>
  <si>
    <t xml:space="preserve">Suministro, transporte e instalación de puerta P6 según detalle </t>
  </si>
  <si>
    <t xml:space="preserve">Suministro, transporte e instalación de puerta P7 según detalle </t>
  </si>
  <si>
    <t xml:space="preserve">Suministro, transporte e instalación de puerta P8 según detalle </t>
  </si>
  <si>
    <t>Viga carguera de abarco de 4"x8" medida comercial. Incluye suministro, transporte e instalación del elemento en madera pulida de abarco o similar, herramienta, equipo, tornillos, clavos y todos los demás elementos y materiales necesarios para su correcta instalación.</t>
  </si>
  <si>
    <t>Alfardas de abarco de 2"x4" medida comercial. Incluye suministro, transporte e instalación del elemento en madera pulida de abarco o similar, herramienta, equipo, tornillos, clavos y todos los demás elementos y materiales necesarios para su correcta instalación.</t>
  </si>
  <si>
    <t>Tablilla de pino patula inmunizada. Incluye suministro, transporte e instalación del elemento machimbrado, clavos y puntillas, herramienta, equipo y todos los elementos y materiales necesarios para su correcta instalación.</t>
  </si>
  <si>
    <t>Construcción de caballetes. Incluye suministro, transporte e instalación de todos los materiales necesarios, mano de obra, herramienta, equipo y todos los materiales necesarios para su correcta instalación.</t>
  </si>
  <si>
    <t>PINTURA DE ACABADO TIPO IMPRA O EQUIVALENTE PARA APLICARSE SOBRE TABLILLA (color a definir) Incluye: Suministro de todos los materiales, transporte y aplicación las manos que sean necesarias para un tono óptimo, se debe aplicar por todas las caras de la tablilla. El color debe ser el indicado por la interventoría.</t>
  </si>
  <si>
    <t>Ruanas calibre 20. Incluye suministro, transporte e instalación del elemento, mano de obra, desarrollo de 0,30m, gancho externo e interno, soldadura, sello con material elástico tipo poliuretano, herramienta, equipo y todos los elementos necesarios para su correcta instalación.</t>
  </si>
  <si>
    <t>Canoas calibre 20. Incluye suministro, transporte e instalación del elemento, mano de obra, desarrollo de 1,00m, soldadura, sello con material elástico tipo poliuretano, herramienta, equipo y todos los elementos necesarios para su correcta instalación.</t>
  </si>
  <si>
    <t>Suministro, transporte y colocación de cielo falso en drywall. (altura anclaje hasta 4.0 m) Incluye, placa yeso 1/2", masillado, pintura 3 manos, perfilaría galvanizada para soporte con distancia de 61 cm, chazos, clavos, cintas, ángulos, cortes, andamios, canes y todo los demás elementos  necesario para su correcta instalación y funcionamiento.</t>
  </si>
  <si>
    <t>Caja de inspección de  0.50 X 0.50 X H hasta 1,0m de profundidad, vaciada en sitio en concreto de  f´c de 210 kg/cm2 impermeabilizado con plastoclete DM + fibra, muros de 0.10m, incluye tapa y cañuela.</t>
  </si>
  <si>
    <t>Excavación material común seco de 0 - 2 m de profundidad.</t>
  </si>
  <si>
    <t>Cargue, transporte y botada de escombros o material resultante de la excavación. Incluye el cargue, repleo, transporte interno y externo y botada de material tipo escombros en botaderos oficiales o en el sitio donde se indique.</t>
  </si>
  <si>
    <t>S, T y C de salida PVCP Ø 1/2": La salida hidráulica o punto hidráulico incluye la tubería y accesorios desde la red horizontal principal hasta el paral en una longitud hasta 3,0m. Incluye la cámara de aire, (L=0,30m) Para longitudes mayores se pagará por metro el tramo adicional.</t>
  </si>
  <si>
    <t>Caja para válvula de  0.50 X 0.50 X 0,40m de profundidad, vaciada en sitio en concreto de  f´c de 210 kg/cm2 impermeabilizado con plastoclete DM + fibra, muros de 0.10m, incluye tapa.</t>
  </si>
  <si>
    <t>S,T y C de válvula de compuerta Ø 3/4", Tipo Red White.</t>
  </si>
  <si>
    <t>Suministro, transporte e instalación de terminal con L = 0.15m y con cámara de aire h = 0.30m, en tubería de cobre, con un DIÁMETRO DE 1/2". Incluye suministro y transporte de los materiales, canchada de muros y resane en mortero, accesorios de PVC y cobre, sellante, soldadura, teflón, y todo lo necesario para su correcta instalación y funcionamiento.</t>
  </si>
  <si>
    <t>Suministro, transporte y colocación de lavamanos Acuajet, color blanco. Incluye grifería metálica con acabado cromado, grifería metálica tipo push de Corona o equivalente, abasto metálico acabado cromado, sifón botella, desagüe, emboquillado con silicona antihongos y todos los demás elementos necesarios para su correcta instalación y funcionamiento.</t>
  </si>
  <si>
    <t>Suministro e instalación de Lava escobas fabricado en acero inoxidable.calibre 18, con estructura en tubería cuadrada en acero inoxidable de 1 1/2". Profundidad del tanque 308mm. Incluye todos los demás elementos necesarios para su correcta instalación y funcionamiento.</t>
  </si>
  <si>
    <t>Suministro, transporte y colocación de lavamanos Avanti, color blanco, para consultorio. Incluye grifería metálica con acabado cromado, grifería metálica tipo push de Corona o equivalente, abasto metálico acabado cromado, sifón botella, desagüe, emboquillado con silicona antihongos y todos los demás elementos necesarios para su correcta instalación y funcionamiento.</t>
  </si>
  <si>
    <t>Suministro, transporte y colocación de espejo en cristal de 6mm de 1m x1,20m, con inclinación para personas con movilidad reducida. Ubicados en unidades sanitarias. Incluye marco en aluminio anodizado natural mate de 1 1/2" con pisa vidrio de 1" y empaque de caucho. Pulida de bordes, cinta doble faz, pega amarilla, silicona antihongos, y todos los demás elementos necesarios para su correcta instalación.</t>
  </si>
  <si>
    <t>Compra, transporte, instalación y puesta en servicio de Unidad Manejadora de Aire, horizontal,  para expansión directa, de 824 CFM, para uso exterior, doble pared de 2" de espesor, a 220V/3 fases/60 Hz. Incluye: Conexión, Junta flexible en lona para conductos de suministro y retorno, pisa lona, elementos de sujeción, eliminadores de vibración, filtros lavables de 35%, filtros del 65% y del 95%, válvula de expansión para R410, motor montado sobre resortes, transmisión, puertas de inspección a la derecha, cauchos eliminadores de vibración, variador, transmisor de presión diferencial, gabinete de control y potencia, termostato, cableado y conexión  y demás accesorios necesarios para su correcta instalación y funcionamiento.</t>
  </si>
  <si>
    <t>Compra, transporte, instalación y puesta en servicio de Unidad Condensadora de Aire con descarga vertical de 2 TR, para trabajar con refrigerante R410, compresor inverter a 220V/3 fases/60 Hz. Incluye: Eliminadores de vibración, filtro secador, visor de líquido, válvula de bola, temporizador, conexión  y demás accesorios necesarios para su correcta instalación y funcionamiento.</t>
  </si>
  <si>
    <t xml:space="preserve">Compra, transporte, instalación y puesta en servicio de Tubería rígida de cobre tipo "L" de diámetro 1/4" aislada con rubatex de 3/8" de espesor. Incluye: Soportes (tipo ménsula, cuelga, correa o cualquier otro necesario), anclajes, elementos de sujeción, codos, uniones, cinta FOAM, chaqueta de PVC pintada de negro,  y demás accesorios necesarios para su correcta instalación y funcionamiento. </t>
  </si>
  <si>
    <t xml:space="preserve">Compra, transporte, instalación y puesta en servicio de Tubería rígida de cobre tipo "L" de diámetro 3/8" aislada con rubatex de 1/2" de espesor. Incluye: Soportes (tipo mensula, cuelga, correa o cualquier otro necesario), soldadura, anclajes, elementos de sujeción, codos, uniones, cinta FOAM, chaqueta de PVC pintada de negro,  y demás accesorios necesarios para su correcta instalación y funcionamiento. </t>
  </si>
  <si>
    <t xml:space="preserve">Compra, transporte, instalación y puesta en servicio de Tubería rígida de cobre tipo "L" de diámetro 5/8" aislada con rubatex de 1/2" de espesor. Incluye: Soportes (tipo mensula, cuelga, correa o cualquier otro necesario), anclajes, elementos de sujeción, codos, uniones, cinta FOAM, chaqueta de PVC pintada de negro,  y demás accesorios necesarios para su correcta instalación y funcionamiento. </t>
  </si>
  <si>
    <t>Compra, transporte, instalación y puesta en servicio de Conductos  en lámina rígida de poliisocianurato de 30 mm de espesor,  revestido por ambas caras con una lámina de aluminio   con  tratamiento antimicrobiano en su cara interna (liso/gofrado).  Incluye: Soporteria  (tipo ménsula, cuelga, correa, o cualquier otro requerido), elementos de sujeción, anclajes, silicona, pega, cinta metálica y demás accesorios necesarios para su correcta instalación y funcionamiento.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</si>
</sst>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_(&quot;$&quot;* \(#,##0.00\);_(&quot;$&quot;*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_-&quot;$&quot;* #,##0_-;\-&quot;$&quot;* #,##0_-;_-&quot;$&quot;* &quot;-&quot;_-;_-@_-"/>
    <numFmt numFmtId="168" formatCode="_-&quot;$&quot;* #,##0.00_-;\-&quot;$&quot;* #,##0.00_-;_-&quot;$&quot;* &quot;-&quot;??_-;_-@_-"/>
    <numFmt numFmtId="169" formatCode="_(&quot;$&quot;\ * #,##0.00_);_(&quot;$&quot;\ * \(#,##0.00\);_(&quot;$&quot;\ * &quot;-&quot;??_);_(@_)"/>
    <numFmt numFmtId="170" formatCode="_ &quot;$&quot;\ * #,##0.00_ ;_ &quot;$&quot;\ * \-#,##0.00_ ;_ &quot;$&quot;\ * &quot;-&quot;??_ ;_ @_ "/>
    <numFmt numFmtId="171" formatCode="_ * #,##0.00_ ;_ * \-#,##0.00_ ;_ * &quot;-&quot;??_ ;_ @_ "/>
    <numFmt numFmtId="172" formatCode="_ [$€-2]\ * #,##0.00_ ;_ [$€-2]\ * \-#,##0.00_ ;_ [$€-2]\ * &quot;-&quot;??_ "/>
    <numFmt numFmtId="173" formatCode="_(&quot;$&quot;* #,##0_);_(&quot;$&quot;* \(#,##0\);_(&quot;$&quot;* &quot;-&quot;??_);_(@_)"/>
    <numFmt numFmtId="174" formatCode="0.0"/>
    <numFmt numFmtId="175" formatCode="_-* #,##0.00\ _€_-;\-* #,##0.00\ _€_-;_-* &quot;-&quot;??\ _€_-;_-@_-"/>
    <numFmt numFmtId="176" formatCode="&quot;$&quot;\ #,##0"/>
    <numFmt numFmtId="177" formatCode="[$USD]\ #,##0"/>
    <numFmt numFmtId="178" formatCode="###,###,##0.000000"/>
    <numFmt numFmtId="179" formatCode="_([$$-240A]\ * #,##0_);_([$$-240A]\ * \(#,##0\);_([$$-240A]\ * &quot;-&quot;_);_(@_)"/>
    <numFmt numFmtId="180" formatCode="_-&quot;$&quot;\ * #,##0_-;\-&quot;$&quot;\ * #,##0_-;_-&quot;$&quot;\ * &quot;-&quot;??_-;_-@_-"/>
    <numFmt numFmtId="181" formatCode="###,###,##0.00000"/>
  </numFmts>
  <fonts count="58">
    <font>
      <sz val="11"/>
      <color theme="1"/>
      <name val="Calibri"/>
      <family val="2"/>
      <scheme val="minor"/>
    </font>
    <font>
      <sz val="10"/>
      <name val="Arial"/>
      <family val="2"/>
    </font>
    <font>
      <b/>
      <sz val="10"/>
      <name val="Arial"/>
      <family val="2"/>
    </font>
    <font>
      <sz val="10"/>
      <name val="Helv"/>
      <charset val="204"/>
    </font>
    <font>
      <sz val="9"/>
      <color indexed="10"/>
      <name val="Geneva"/>
    </font>
    <font>
      <sz val="11"/>
      <color indexed="8"/>
      <name val="Calibri"/>
      <family val="2"/>
    </font>
    <font>
      <sz val="11"/>
      <color theme="1"/>
      <name val="Calibri"/>
      <family val="2"/>
      <scheme val="minor"/>
    </font>
    <font>
      <sz val="11"/>
      <name val="Calibri"/>
      <family val="2"/>
      <scheme val="minor"/>
    </font>
    <font>
      <sz val="8"/>
      <name val="Arial"/>
      <family val="2"/>
    </font>
    <font>
      <b/>
      <sz val="8"/>
      <name val="Arial"/>
      <family val="2"/>
    </font>
    <font>
      <b/>
      <sz val="11"/>
      <color theme="1"/>
      <name val="Calibri"/>
      <family val="2"/>
      <scheme val="minor"/>
    </font>
    <font>
      <b/>
      <sz val="9"/>
      <color theme="1"/>
      <name val="Tahoma"/>
      <family val="2"/>
    </font>
    <font>
      <sz val="9"/>
      <color theme="1"/>
      <name val="Tahoma"/>
      <family val="2"/>
    </font>
    <font>
      <sz val="7"/>
      <color theme="1"/>
      <name val="Times New Roman"/>
      <family val="1"/>
    </font>
    <font>
      <sz val="10"/>
      <color rgb="FF000000"/>
      <name val="Arial"/>
      <family val="2"/>
    </font>
    <font>
      <sz val="11"/>
      <color rgb="FF000000"/>
      <name val="Calibri"/>
      <family val="2"/>
    </font>
    <font>
      <sz val="10"/>
      <color theme="1"/>
      <name val="Times New Roman"/>
      <family val="1"/>
    </font>
    <font>
      <b/>
      <sz val="9"/>
      <name val="Arial"/>
      <family val="2"/>
    </font>
    <font>
      <sz val="10"/>
      <color indexed="8"/>
      <name val="Arial"/>
      <family val="2"/>
    </font>
    <font>
      <sz val="10"/>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48"/>
      <name val="Calibri"/>
      <family val="2"/>
    </font>
    <font>
      <sz val="11"/>
      <color indexed="53"/>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theme="1"/>
      <name val="Arial"/>
      <family val="2"/>
    </font>
    <font>
      <b/>
      <sz val="11"/>
      <name val="Arial"/>
      <family val="2"/>
    </font>
    <font>
      <sz val="11"/>
      <name val="Arial"/>
      <family val="2"/>
    </font>
    <font>
      <b/>
      <sz val="11"/>
      <color rgb="FFFF0000"/>
      <name val="Arial"/>
      <family val="2"/>
    </font>
    <font>
      <b/>
      <sz val="11"/>
      <color theme="0"/>
      <name val="Arial"/>
      <family val="2"/>
    </font>
    <font>
      <b/>
      <sz val="11"/>
      <color theme="1"/>
      <name val="Arial"/>
      <family val="2"/>
    </font>
    <font>
      <sz val="8"/>
      <name val="Calibri"/>
      <family val="2"/>
      <scheme val="minor"/>
    </font>
    <font>
      <b/>
      <sz val="16"/>
      <color indexed="9"/>
      <name val="Swis721 LtCn BT"/>
      <family val="2"/>
    </font>
    <font>
      <b/>
      <sz val="10"/>
      <name val="Swis721 LtCn BT"/>
      <family val="2"/>
    </font>
    <font>
      <b/>
      <sz val="9"/>
      <name val="Swis721 LtCn BT"/>
      <family val="2"/>
    </font>
    <font>
      <b/>
      <sz val="12"/>
      <name val="Swis721 LtCn BT"/>
      <family val="2"/>
    </font>
    <font>
      <sz val="10"/>
      <name val="Swis721 LtCn BT"/>
      <family val="2"/>
    </font>
    <font>
      <b/>
      <sz val="11"/>
      <color indexed="9"/>
      <name val="Swis721 LtCn BT"/>
      <family val="2"/>
    </font>
    <font>
      <b/>
      <sz val="10"/>
      <color indexed="9"/>
      <name val="Swis721 LtCn BT"/>
      <family val="2"/>
    </font>
    <font>
      <sz val="11"/>
      <color rgb="FF000000"/>
      <name val="Arial"/>
      <family val="2"/>
    </font>
    <font>
      <sz val="11"/>
      <color theme="0"/>
      <name val="Arial"/>
      <family val="2"/>
    </font>
    <font>
      <sz val="10"/>
      <color theme="1"/>
      <name val="Arial"/>
      <family val="2"/>
    </font>
  </fonts>
  <fills count="5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rgb="FF8CF987"/>
        <bgColor indexed="64"/>
      </patternFill>
    </fill>
    <fill>
      <patternFill patternType="solid">
        <fgColor rgb="FFC00000"/>
        <bgColor indexed="64"/>
      </patternFill>
    </fill>
    <fill>
      <patternFill patternType="solid">
        <fgColor rgb="FF00B050"/>
        <bgColor indexed="64"/>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34998626667073579"/>
        <bgColor indexed="64"/>
      </patternFill>
    </fill>
    <fill>
      <patternFill patternType="solid">
        <fgColor indexed="9"/>
        <bgColor indexed="64"/>
      </patternFill>
    </fill>
    <fill>
      <patternFill patternType="solid">
        <fgColor theme="1"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s>
  <cellStyleXfs count="181">
    <xf numFmtId="0" fontId="0" fillId="0" borderId="0"/>
    <xf numFmtId="0" fontId="1" fillId="0" borderId="0"/>
    <xf numFmtId="0" fontId="3" fillId="0" borderId="0"/>
    <xf numFmtId="0" fontId="4" fillId="0" borderId="0"/>
    <xf numFmtId="3" fontId="2" fillId="0" borderId="0">
      <alignment horizontal="center" vertical="center"/>
    </xf>
    <xf numFmtId="0" fontId="4" fillId="0" borderId="0"/>
    <xf numFmtId="0" fontId="4" fillId="0" borderId="0"/>
    <xf numFmtId="172"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0" fontId="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1" fillId="0" borderId="0"/>
    <xf numFmtId="0" fontId="1" fillId="0" borderId="0"/>
    <xf numFmtId="0" fontId="5" fillId="0" borderId="0"/>
    <xf numFmtId="0" fontId="1" fillId="0" borderId="0"/>
    <xf numFmtId="0" fontId="6"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0" fontId="6" fillId="0" borderId="0"/>
    <xf numFmtId="9" fontId="6" fillId="0" borderId="0" applyFont="0" applyFill="0" applyBorder="0" applyAlignment="0" applyProtection="0"/>
    <xf numFmtId="175" fontId="6" fillId="0" borderId="0" applyFont="0" applyFill="0" applyBorder="0" applyAlignment="0" applyProtection="0"/>
    <xf numFmtId="0" fontId="19" fillId="0" borderId="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3" borderId="0" applyNumberFormat="0" applyBorder="0" applyAlignment="0" applyProtection="0"/>
    <xf numFmtId="0" fontId="20" fillId="25"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15" borderId="0" applyNumberFormat="0" applyBorder="0" applyAlignment="0" applyProtection="0"/>
    <xf numFmtId="0" fontId="20" fillId="26" borderId="0" applyNumberFormat="0" applyBorder="0" applyAlignment="0" applyProtection="0"/>
    <xf numFmtId="0" fontId="5" fillId="27" borderId="0" applyNumberFormat="0" applyBorder="0" applyAlignment="0" applyProtection="0"/>
    <xf numFmtId="0" fontId="5" fillId="19" borderId="0" applyNumberFormat="0" applyBorder="0" applyAlignment="0" applyProtection="0"/>
    <xf numFmtId="0" fontId="20" fillId="28" borderId="0" applyNumberFormat="0" applyBorder="0" applyAlignment="0" applyProtection="0"/>
    <xf numFmtId="0" fontId="21" fillId="19" borderId="0" applyNumberFormat="0" applyBorder="0" applyAlignment="0" applyProtection="0"/>
    <xf numFmtId="0" fontId="22" fillId="29" borderId="15" applyNumberFormat="0" applyAlignment="0" applyProtection="0"/>
    <xf numFmtId="0" fontId="23" fillId="20" borderId="16" applyNumberFormat="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5" fillId="33"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28" borderId="15" applyNumberFormat="0" applyAlignment="0" applyProtection="0"/>
    <xf numFmtId="0" fontId="31" fillId="0" borderId="2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174" fontId="1" fillId="0" borderId="0" applyFont="0" applyFill="0" applyBorder="0" applyAlignment="0" applyProtection="0"/>
    <xf numFmtId="168"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4"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27" borderId="21" applyNumberFormat="0" applyFont="0" applyAlignment="0" applyProtection="0"/>
    <xf numFmtId="0" fontId="32" fillId="29"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 fontId="33" fillId="34" borderId="23" applyNumberFormat="0" applyProtection="0">
      <alignment vertical="center"/>
    </xf>
    <xf numFmtId="4" fontId="34" fillId="34" borderId="23" applyNumberFormat="0" applyProtection="0">
      <alignment vertical="center"/>
    </xf>
    <xf numFmtId="4" fontId="33" fillId="34" borderId="23" applyNumberFormat="0" applyProtection="0">
      <alignment horizontal="left" vertical="center" indent="1"/>
    </xf>
    <xf numFmtId="0" fontId="33" fillId="34" borderId="23" applyNumberFormat="0" applyProtection="0">
      <alignment horizontal="left" vertical="top" indent="1"/>
    </xf>
    <xf numFmtId="4" fontId="33" fillId="35" borderId="0" applyNumberFormat="0" applyProtection="0">
      <alignment horizontal="left" vertical="center" indent="1"/>
    </xf>
    <xf numFmtId="4" fontId="18" fillId="36" borderId="23" applyNumberFormat="0" applyProtection="0">
      <alignment horizontal="right" vertical="center"/>
    </xf>
    <xf numFmtId="4" fontId="18" fillId="37" borderId="23" applyNumberFormat="0" applyProtection="0">
      <alignment horizontal="right" vertical="center"/>
    </xf>
    <xf numFmtId="4" fontId="18" fillId="38" borderId="23" applyNumberFormat="0" applyProtection="0">
      <alignment horizontal="right" vertical="center"/>
    </xf>
    <xf numFmtId="4" fontId="18" fillId="39" borderId="23" applyNumberFormat="0" applyProtection="0">
      <alignment horizontal="right" vertical="center"/>
    </xf>
    <xf numFmtId="4" fontId="18" fillId="40" borderId="23" applyNumberFormat="0" applyProtection="0">
      <alignment horizontal="right" vertical="center"/>
    </xf>
    <xf numFmtId="4" fontId="18" fillId="41" borderId="23" applyNumberFormat="0" applyProtection="0">
      <alignment horizontal="right" vertical="center"/>
    </xf>
    <xf numFmtId="4" fontId="18" fillId="42" borderId="23" applyNumberFormat="0" applyProtection="0">
      <alignment horizontal="right" vertical="center"/>
    </xf>
    <xf numFmtId="4" fontId="18" fillId="43" borderId="23" applyNumberFormat="0" applyProtection="0">
      <alignment horizontal="right" vertical="center"/>
    </xf>
    <xf numFmtId="4" fontId="18" fillId="44" borderId="23" applyNumberFormat="0" applyProtection="0">
      <alignment horizontal="right" vertical="center"/>
    </xf>
    <xf numFmtId="4" fontId="33" fillId="45" borderId="24" applyNumberFormat="0" applyProtection="0">
      <alignment horizontal="left" vertical="center" indent="1"/>
    </xf>
    <xf numFmtId="4" fontId="18" fillId="46" borderId="0" applyNumberFormat="0" applyProtection="0">
      <alignment horizontal="left" vertical="center" indent="1"/>
    </xf>
    <xf numFmtId="4" fontId="35" fillId="47" borderId="0" applyNumberFormat="0" applyProtection="0">
      <alignment horizontal="left" vertical="center" indent="1"/>
    </xf>
    <xf numFmtId="4" fontId="18" fillId="35" borderId="23" applyNumberFormat="0" applyProtection="0">
      <alignment horizontal="right" vertical="center"/>
    </xf>
    <xf numFmtId="4" fontId="18" fillId="46" borderId="0" applyNumberFormat="0" applyProtection="0">
      <alignment horizontal="left" vertical="center" indent="1"/>
    </xf>
    <xf numFmtId="4" fontId="18" fillId="35" borderId="0" applyNumberFormat="0" applyProtection="0">
      <alignment horizontal="left" vertical="center" indent="1"/>
    </xf>
    <xf numFmtId="0" fontId="1" fillId="47" borderId="23" applyNumberFormat="0" applyProtection="0">
      <alignment horizontal="left" vertical="center" indent="1"/>
    </xf>
    <xf numFmtId="0" fontId="1" fillId="47" borderId="23" applyNumberFormat="0" applyProtection="0">
      <alignment horizontal="left" vertical="top" indent="1"/>
    </xf>
    <xf numFmtId="0" fontId="1" fillId="35" borderId="23" applyNumberFormat="0" applyProtection="0">
      <alignment horizontal="left" vertical="center" indent="1"/>
    </xf>
    <xf numFmtId="0" fontId="1" fillId="35" borderId="23" applyNumberFormat="0" applyProtection="0">
      <alignment horizontal="left" vertical="top" indent="1"/>
    </xf>
    <xf numFmtId="0" fontId="1" fillId="48" borderId="23" applyNumberFormat="0" applyProtection="0">
      <alignment horizontal="left" vertical="center" indent="1"/>
    </xf>
    <xf numFmtId="0" fontId="1" fillId="48" borderId="23" applyNumberFormat="0" applyProtection="0">
      <alignment horizontal="left" vertical="top" indent="1"/>
    </xf>
    <xf numFmtId="0" fontId="1" fillId="46" borderId="23" applyNumberFormat="0" applyProtection="0">
      <alignment horizontal="left" vertical="center" indent="1"/>
    </xf>
    <xf numFmtId="0" fontId="1" fillId="46" borderId="23" applyNumberFormat="0" applyProtection="0">
      <alignment horizontal="left" vertical="top" indent="1"/>
    </xf>
    <xf numFmtId="0" fontId="1" fillId="49" borderId="1" applyNumberFormat="0">
      <protection locked="0"/>
    </xf>
    <xf numFmtId="4" fontId="18" fillId="50" borderId="23" applyNumberFormat="0" applyProtection="0">
      <alignment vertical="center"/>
    </xf>
    <xf numFmtId="4" fontId="36" fillId="50" borderId="23" applyNumberFormat="0" applyProtection="0">
      <alignment vertical="center"/>
    </xf>
    <xf numFmtId="4" fontId="18" fillId="50" borderId="23" applyNumberFormat="0" applyProtection="0">
      <alignment horizontal="left" vertical="center" indent="1"/>
    </xf>
    <xf numFmtId="0" fontId="18" fillId="50" borderId="23" applyNumberFormat="0" applyProtection="0">
      <alignment horizontal="left" vertical="top" indent="1"/>
    </xf>
    <xf numFmtId="4" fontId="18" fillId="46" borderId="23" applyNumberFormat="0" applyProtection="0">
      <alignment horizontal="right" vertical="center"/>
    </xf>
    <xf numFmtId="4" fontId="36" fillId="46" borderId="23" applyNumberFormat="0" applyProtection="0">
      <alignment horizontal="right" vertical="center"/>
    </xf>
    <xf numFmtId="4" fontId="18" fillId="35" borderId="23" applyNumberFormat="0" applyProtection="0">
      <alignment horizontal="left" vertical="center" indent="1"/>
    </xf>
    <xf numFmtId="0" fontId="18" fillId="35" borderId="23" applyNumberFormat="0" applyProtection="0">
      <alignment horizontal="left" vertical="top" indent="1"/>
    </xf>
    <xf numFmtId="4" fontId="37" fillId="51" borderId="0" applyNumberFormat="0" applyProtection="0">
      <alignment horizontal="left" vertical="center" indent="1"/>
    </xf>
    <xf numFmtId="4" fontId="38" fillId="46" borderId="23" applyNumberFormat="0" applyProtection="0">
      <alignment horizontal="right" vertical="center"/>
    </xf>
    <xf numFmtId="0" fontId="39"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74" fontId="1" fillId="0" borderId="0" applyFont="0" applyFill="0" applyBorder="0" applyAlignment="0" applyProtection="0"/>
    <xf numFmtId="9" fontId="6" fillId="0" borderId="0" applyFont="0" applyFill="0" applyBorder="0" applyAlignment="0" applyProtection="0"/>
    <xf numFmtId="172" fontId="1"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1" fillId="0" borderId="0"/>
    <xf numFmtId="9"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0" fontId="1" fillId="0" borderId="0"/>
    <xf numFmtId="165" fontId="6" fillId="0" borderId="0" applyFont="0" applyFill="0" applyBorder="0" applyAlignment="0" applyProtection="0"/>
  </cellStyleXfs>
  <cellXfs count="235">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7" fillId="0" borderId="1" xfId="0" applyFont="1" applyFill="1" applyBorder="1" applyAlignment="1">
      <alignment horizontal="left" vertical="center" wrapText="1"/>
    </xf>
    <xf numFmtId="0" fontId="0" fillId="0" borderId="0" xfId="0" applyFill="1"/>
    <xf numFmtId="0" fontId="0" fillId="0" borderId="1" xfId="0" applyBorder="1"/>
    <xf numFmtId="0" fontId="0" fillId="0" borderId="1" xfId="0" applyBorder="1" applyAlignment="1">
      <alignment vertical="center"/>
    </xf>
    <xf numFmtId="0" fontId="7"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14" fillId="0" borderId="13" xfId="0" applyFont="1" applyBorder="1" applyAlignment="1">
      <alignment horizontal="center" wrapText="1"/>
    </xf>
    <xf numFmtId="0" fontId="14" fillId="0" borderId="12" xfId="0" applyFont="1" applyBorder="1" applyAlignment="1">
      <alignment wrapText="1"/>
    </xf>
    <xf numFmtId="0" fontId="15" fillId="8" borderId="0" xfId="0" applyFont="1" applyFill="1"/>
    <xf numFmtId="0" fontId="0" fillId="0" borderId="1" xfId="0" applyBorder="1" applyAlignment="1">
      <alignment wrapText="1"/>
    </xf>
    <xf numFmtId="0" fontId="14" fillId="0" borderId="14" xfId="0" applyFont="1" applyBorder="1" applyAlignment="1">
      <alignment horizontal="center" wrapText="1"/>
    </xf>
    <xf numFmtId="0" fontId="14" fillId="0" borderId="11" xfId="0" applyFont="1" applyBorder="1" applyAlignment="1">
      <alignment wrapText="1"/>
    </xf>
    <xf numFmtId="0" fontId="16" fillId="4" borderId="0" xfId="0" applyFont="1" applyFill="1"/>
    <xf numFmtId="0" fontId="15" fillId="3" borderId="0" xfId="0" applyFont="1" applyFill="1"/>
    <xf numFmtId="0" fontId="15" fillId="10" borderId="0" xfId="0" applyFont="1" applyFill="1"/>
    <xf numFmtId="0" fontId="15" fillId="6" borderId="0" xfId="0" applyFont="1" applyFill="1"/>
    <xf numFmtId="0" fontId="0" fillId="0" borderId="1" xfId="0" applyFill="1" applyBorder="1"/>
    <xf numFmtId="0" fontId="0" fillId="0" borderId="1" xfId="0" applyFill="1" applyBorder="1" applyAlignment="1">
      <alignment wrapText="1"/>
    </xf>
    <xf numFmtId="0" fontId="9" fillId="9" borderId="1" xfId="0" applyFont="1"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11" borderId="1" xfId="0" applyFill="1" applyBorder="1" applyAlignment="1">
      <alignment horizontal="center"/>
    </xf>
    <xf numFmtId="0" fontId="0" fillId="0" borderId="1" xfId="0" applyBorder="1" applyAlignment="1">
      <alignment horizontal="center" vertical="center" wrapText="1"/>
    </xf>
    <xf numFmtId="0" fontId="0" fillId="12" borderId="1" xfId="0" applyFill="1" applyBorder="1" applyAlignment="1">
      <alignment horizontal="center"/>
    </xf>
    <xf numFmtId="0" fontId="0" fillId="0" borderId="0" xfId="0" applyNumberFormat="1"/>
    <xf numFmtId="0" fontId="0" fillId="0" borderId="1" xfId="0" applyBorder="1" applyAlignment="1">
      <alignment horizontal="center" vertical="center"/>
    </xf>
    <xf numFmtId="0" fontId="0" fillId="0" borderId="0" xfId="0" pivotButton="1"/>
    <xf numFmtId="0" fontId="0" fillId="0" borderId="10" xfId="0" applyBorder="1" applyAlignment="1">
      <alignment wrapText="1"/>
    </xf>
    <xf numFmtId="0" fontId="7" fillId="0" borderId="0" xfId="0" applyFont="1" applyFill="1" applyBorder="1" applyAlignment="1">
      <alignment horizontal="left" vertical="center" wrapText="1"/>
    </xf>
    <xf numFmtId="0" fontId="41" fillId="0" borderId="0" xfId="19" applyFont="1" applyBorder="1"/>
    <xf numFmtId="0" fontId="41" fillId="0" borderId="0" xfId="19" applyFont="1" applyBorder="1" applyAlignment="1">
      <alignment horizontal="center" vertical="center" wrapText="1"/>
    </xf>
    <xf numFmtId="0" fontId="41" fillId="0" borderId="0" xfId="19" applyFont="1" applyBorder="1" applyAlignment="1">
      <alignment horizontal="center" vertical="center"/>
    </xf>
    <xf numFmtId="0" fontId="43" fillId="0" borderId="0" xfId="19" applyFont="1" applyFill="1" applyBorder="1" applyAlignment="1">
      <alignment vertical="center"/>
    </xf>
    <xf numFmtId="0" fontId="42" fillId="5" borderId="1" xfId="19" applyFont="1" applyFill="1" applyBorder="1" applyAlignment="1">
      <alignment horizontal="center" vertical="center" wrapText="1"/>
    </xf>
    <xf numFmtId="0" fontId="43" fillId="0" borderId="0" xfId="19" applyFont="1" applyFill="1" applyBorder="1" applyAlignment="1">
      <alignment horizontal="center" vertical="center"/>
    </xf>
    <xf numFmtId="0" fontId="42" fillId="2" borderId="1" xfId="19" applyFont="1" applyFill="1" applyBorder="1" applyAlignment="1">
      <alignment horizontal="center" vertical="center"/>
    </xf>
    <xf numFmtId="0" fontId="43" fillId="2" borderId="1" xfId="19" applyFont="1" applyFill="1" applyBorder="1" applyAlignment="1">
      <alignment horizontal="center" vertical="center"/>
    </xf>
    <xf numFmtId="174" fontId="43" fillId="2" borderId="1" xfId="19" applyNumberFormat="1" applyFont="1" applyFill="1" applyBorder="1" applyAlignment="1">
      <alignment horizontal="center" vertical="center"/>
    </xf>
    <xf numFmtId="173" fontId="42" fillId="2" borderId="1" xfId="147" applyNumberFormat="1" applyFont="1" applyFill="1" applyBorder="1" applyAlignment="1">
      <alignment vertical="center"/>
    </xf>
    <xf numFmtId="9" fontId="42" fillId="2" borderId="1" xfId="146" applyFont="1" applyFill="1" applyBorder="1" applyAlignment="1">
      <alignment horizontal="center" vertical="center"/>
    </xf>
    <xf numFmtId="0" fontId="43" fillId="0" borderId="1" xfId="19" applyFont="1" applyFill="1" applyBorder="1" applyAlignment="1">
      <alignment horizontal="center" vertical="center"/>
    </xf>
    <xf numFmtId="174" fontId="43" fillId="0" borderId="1" xfId="19" applyNumberFormat="1" applyFont="1" applyFill="1" applyBorder="1" applyAlignment="1">
      <alignment horizontal="center" vertical="center"/>
    </xf>
    <xf numFmtId="173" fontId="43" fillId="0" borderId="1" xfId="147" applyNumberFormat="1" applyFont="1" applyFill="1" applyBorder="1" applyAlignment="1">
      <alignment vertical="center"/>
    </xf>
    <xf numFmtId="9" fontId="43" fillId="0" borderId="1" xfId="146" applyFont="1" applyFill="1" applyBorder="1" applyAlignment="1">
      <alignment horizontal="center" vertical="center"/>
    </xf>
    <xf numFmtId="0" fontId="43" fillId="0" borderId="1" xfId="19" applyFont="1" applyFill="1" applyBorder="1" applyAlignment="1">
      <alignment horizontal="left" vertical="center" wrapText="1"/>
    </xf>
    <xf numFmtId="2" fontId="43" fillId="0" borderId="1" xfId="19" applyNumberFormat="1" applyFont="1" applyFill="1" applyBorder="1" applyAlignment="1">
      <alignment horizontal="center" vertical="center"/>
    </xf>
    <xf numFmtId="0" fontId="42" fillId="2" borderId="1" xfId="19" applyFont="1" applyFill="1" applyBorder="1" applyAlignment="1">
      <alignment horizontal="left" vertical="center" wrapText="1"/>
    </xf>
    <xf numFmtId="0" fontId="43" fillId="0" borderId="3" xfId="19" applyFont="1" applyFill="1" applyBorder="1" applyAlignment="1">
      <alignment horizontal="center" vertical="center"/>
    </xf>
    <xf numFmtId="173" fontId="43" fillId="2" borderId="3" xfId="147" applyNumberFormat="1" applyFont="1" applyFill="1" applyBorder="1" applyAlignment="1">
      <alignment vertical="center"/>
    </xf>
    <xf numFmtId="0" fontId="43" fillId="5" borderId="1" xfId="19" applyFont="1" applyFill="1" applyBorder="1" applyAlignment="1">
      <alignment horizontal="center" vertical="center"/>
    </xf>
    <xf numFmtId="0" fontId="42" fillId="5" borderId="1" xfId="19" applyFont="1" applyFill="1" applyBorder="1" applyAlignment="1">
      <alignment horizontal="left" vertical="top" wrapText="1"/>
    </xf>
    <xf numFmtId="174" fontId="43" fillId="5" borderId="1" xfId="19" applyNumberFormat="1" applyFont="1" applyFill="1" applyBorder="1" applyAlignment="1">
      <alignment horizontal="center" vertical="center"/>
    </xf>
    <xf numFmtId="173" fontId="43" fillId="5" borderId="1" xfId="147" applyNumberFormat="1" applyFont="1" applyFill="1" applyBorder="1" applyAlignment="1">
      <alignment vertical="center"/>
    </xf>
    <xf numFmtId="173" fontId="42" fillId="5" borderId="1" xfId="147" applyNumberFormat="1" applyFont="1" applyFill="1" applyBorder="1" applyAlignment="1">
      <alignment vertical="center"/>
    </xf>
    <xf numFmtId="9" fontId="42" fillId="0" borderId="0" xfId="146" applyFont="1" applyFill="1" applyBorder="1" applyAlignment="1">
      <alignment horizontal="center" vertical="center"/>
    </xf>
    <xf numFmtId="0" fontId="43" fillId="0" borderId="0" xfId="19" applyFont="1" applyAlignment="1">
      <alignment vertical="top" wrapText="1"/>
    </xf>
    <xf numFmtId="9" fontId="45" fillId="0" borderId="0" xfId="146" applyFont="1" applyFill="1" applyBorder="1" applyAlignment="1">
      <alignment horizontal="center" vertical="center"/>
    </xf>
    <xf numFmtId="0" fontId="42" fillId="0" borderId="0" xfId="19" applyFont="1" applyFill="1" applyBorder="1" applyAlignment="1">
      <alignment vertical="center"/>
    </xf>
    <xf numFmtId="9" fontId="44" fillId="0" borderId="1" xfId="146" applyFont="1" applyFill="1" applyBorder="1" applyAlignment="1">
      <alignment horizontal="center" vertical="center"/>
    </xf>
    <xf numFmtId="173" fontId="42" fillId="0" borderId="1" xfId="19" applyNumberFormat="1" applyFont="1" applyFill="1" applyBorder="1" applyAlignment="1">
      <alignment vertical="center"/>
    </xf>
    <xf numFmtId="0" fontId="43" fillId="0" borderId="0" xfId="19" applyFont="1" applyFill="1" applyAlignment="1">
      <alignment horizontal="center" vertical="center"/>
    </xf>
    <xf numFmtId="0" fontId="43" fillId="0" borderId="0" xfId="19" applyFont="1" applyFill="1" applyBorder="1" applyAlignment="1">
      <alignment vertical="top" wrapText="1"/>
    </xf>
    <xf numFmtId="174" fontId="43" fillId="0" borderId="0" xfId="19" applyNumberFormat="1" applyFont="1" applyFill="1" applyBorder="1" applyAlignment="1">
      <alignment horizontal="right" vertical="center"/>
    </xf>
    <xf numFmtId="9" fontId="44" fillId="0" borderId="0" xfId="146" applyFont="1" applyFill="1" applyBorder="1" applyAlignment="1">
      <alignment horizontal="center" vertical="center"/>
    </xf>
    <xf numFmtId="173" fontId="45" fillId="0" borderId="0" xfId="19" applyNumberFormat="1" applyFont="1" applyFill="1" applyBorder="1" applyAlignment="1">
      <alignment vertical="center"/>
    </xf>
    <xf numFmtId="0" fontId="43" fillId="0" borderId="0" xfId="19" applyFont="1" applyAlignment="1">
      <alignment vertical="center"/>
    </xf>
    <xf numFmtId="173" fontId="42" fillId="7" borderId="1" xfId="19" applyNumberFormat="1" applyFont="1" applyFill="1" applyBorder="1" applyAlignment="1">
      <alignment horizontal="right" vertical="center"/>
    </xf>
    <xf numFmtId="0" fontId="42" fillId="0" borderId="0" xfId="19" applyFont="1" applyAlignment="1">
      <alignment horizontal="center" vertical="center"/>
    </xf>
    <xf numFmtId="0" fontId="42" fillId="0" borderId="0" xfId="19" applyFont="1" applyAlignment="1">
      <alignment horizontal="center" vertical="top" wrapText="1"/>
    </xf>
    <xf numFmtId="174" fontId="42" fillId="0" borderId="0" xfId="19" applyNumberFormat="1" applyFont="1" applyAlignment="1">
      <alignment horizontal="center" vertical="center"/>
    </xf>
    <xf numFmtId="9" fontId="42" fillId="2" borderId="1" xfId="161" applyFont="1" applyFill="1" applyBorder="1" applyAlignment="1">
      <alignment horizontal="center" vertical="center"/>
    </xf>
    <xf numFmtId="0" fontId="42" fillId="0" borderId="0" xfId="19" applyFont="1" applyFill="1" applyAlignment="1">
      <alignment horizontal="center" vertical="center"/>
    </xf>
    <xf numFmtId="0" fontId="42" fillId="0" borderId="0" xfId="19" applyFont="1" applyFill="1" applyBorder="1" applyAlignment="1">
      <alignment horizontal="center" vertical="center"/>
    </xf>
    <xf numFmtId="0" fontId="43" fillId="0" borderId="0" xfId="19" applyFont="1" applyAlignment="1">
      <alignment horizontal="center" vertical="center"/>
    </xf>
    <xf numFmtId="174" fontId="43" fillId="0" borderId="0" xfId="19" applyNumberFormat="1" applyFont="1" applyAlignment="1">
      <alignment horizontal="center" vertical="center"/>
    </xf>
    <xf numFmtId="0" fontId="43" fillId="0" borderId="0" xfId="19" applyFont="1"/>
    <xf numFmtId="173" fontId="43" fillId="0" borderId="0" xfId="19" applyNumberFormat="1" applyFont="1" applyAlignment="1">
      <alignment vertical="center"/>
    </xf>
    <xf numFmtId="0" fontId="43" fillId="0" borderId="0" xfId="19" applyFont="1" applyAlignment="1">
      <alignment horizontal="right" vertical="top" wrapText="1"/>
    </xf>
    <xf numFmtId="0" fontId="43" fillId="0" borderId="0" xfId="19" applyFont="1" applyAlignment="1">
      <alignment horizontal="right" vertical="center"/>
    </xf>
    <xf numFmtId="2" fontId="43" fillId="0" borderId="0" xfId="19" applyNumberFormat="1" applyFont="1" applyAlignment="1">
      <alignment vertical="top" wrapText="1"/>
    </xf>
    <xf numFmtId="167" fontId="43" fillId="0" borderId="0" xfId="162" applyFont="1" applyAlignment="1">
      <alignment vertical="center"/>
    </xf>
    <xf numFmtId="174" fontId="43" fillId="0" borderId="3" xfId="19" applyNumberFormat="1" applyFont="1" applyFill="1" applyBorder="1" applyAlignment="1">
      <alignment horizontal="center" vertical="center"/>
    </xf>
    <xf numFmtId="173" fontId="43" fillId="0" borderId="3" xfId="147" applyNumberFormat="1" applyFont="1" applyFill="1" applyBorder="1" applyAlignment="1">
      <alignment vertical="center"/>
    </xf>
    <xf numFmtId="164" fontId="43" fillId="0" borderId="0" xfId="178" applyFont="1" applyFill="1" applyBorder="1" applyAlignment="1">
      <alignment vertical="center"/>
    </xf>
    <xf numFmtId="0" fontId="49" fillId="0" borderId="1" xfId="179" applyFont="1" applyBorder="1" applyAlignment="1">
      <alignment horizontal="center" vertical="center"/>
    </xf>
    <xf numFmtId="0" fontId="49" fillId="0" borderId="1" xfId="179" applyFont="1" applyBorder="1" applyAlignment="1">
      <alignment horizontal="center" vertical="center" wrapText="1"/>
    </xf>
    <xf numFmtId="0" fontId="49" fillId="0" borderId="1" xfId="179" applyFont="1" applyBorder="1"/>
    <xf numFmtId="0" fontId="49" fillId="0" borderId="1" xfId="179" applyFont="1" applyBorder="1" applyAlignment="1">
      <alignment horizontal="centerContinuous"/>
    </xf>
    <xf numFmtId="0" fontId="52" fillId="0" borderId="1" xfId="179" applyFont="1" applyBorder="1" applyAlignment="1">
      <alignment vertical="top" wrapText="1"/>
    </xf>
    <xf numFmtId="0" fontId="52" fillId="0" borderId="1" xfId="179" applyFont="1" applyBorder="1" applyAlignment="1">
      <alignment horizontal="center" vertical="top"/>
    </xf>
    <xf numFmtId="178" fontId="52" fillId="0" borderId="1" xfId="179" applyNumberFormat="1" applyFont="1" applyBorder="1" applyAlignment="1">
      <alignment horizontal="center" vertical="top"/>
    </xf>
    <xf numFmtId="179" fontId="52" fillId="0" borderId="1" xfId="179" applyNumberFormat="1" applyFont="1" applyBorder="1" applyAlignment="1">
      <alignment horizontal="right" vertical="top"/>
    </xf>
    <xf numFmtId="0" fontId="52" fillId="0" borderId="1" xfId="179" applyFont="1" applyBorder="1" applyAlignment="1">
      <alignment horizontal="right" vertical="top"/>
    </xf>
    <xf numFmtId="0" fontId="49" fillId="0" borderId="1" xfId="179" applyFont="1" applyBorder="1" applyAlignment="1">
      <alignment horizontal="right" vertical="top"/>
    </xf>
    <xf numFmtId="179" fontId="49" fillId="0" borderId="1" xfId="179" applyNumberFormat="1" applyFont="1" applyBorder="1" applyAlignment="1">
      <alignment horizontal="right" vertical="top"/>
    </xf>
    <xf numFmtId="10" fontId="52" fillId="0" borderId="1" xfId="161" applyNumberFormat="1" applyFont="1" applyBorder="1" applyAlignment="1">
      <alignment horizontal="right" vertical="top"/>
    </xf>
    <xf numFmtId="179" fontId="52" fillId="0" borderId="1" xfId="179" applyNumberFormat="1" applyFont="1" applyFill="1" applyBorder="1" applyAlignment="1">
      <alignment horizontal="right" vertical="top"/>
    </xf>
    <xf numFmtId="0" fontId="52" fillId="0" borderId="1" xfId="179" quotePrefix="1" applyFont="1" applyBorder="1" applyAlignment="1">
      <alignment vertical="top" wrapText="1"/>
    </xf>
    <xf numFmtId="0" fontId="43" fillId="0" borderId="3" xfId="19" applyFont="1" applyBorder="1" applyAlignment="1">
      <alignment horizontal="center" vertical="center"/>
    </xf>
    <xf numFmtId="0" fontId="43" fillId="0" borderId="2" xfId="19" applyFont="1" applyFill="1" applyBorder="1" applyAlignment="1">
      <alignment horizontal="center" vertical="center"/>
    </xf>
    <xf numFmtId="173" fontId="43" fillId="0" borderId="27" xfId="147" applyNumberFormat="1" applyFont="1" applyFill="1" applyBorder="1" applyAlignment="1">
      <alignment vertical="center"/>
    </xf>
    <xf numFmtId="0" fontId="42" fillId="2" borderId="4" xfId="19" applyFont="1" applyFill="1" applyBorder="1" applyAlignment="1">
      <alignment horizontal="left" vertical="center" wrapText="1"/>
    </xf>
    <xf numFmtId="0" fontId="43" fillId="0" borderId="27" xfId="19" applyFont="1" applyFill="1" applyBorder="1" applyAlignment="1">
      <alignment horizontal="center" vertical="center"/>
    </xf>
    <xf numFmtId="0" fontId="49" fillId="0" borderId="1" xfId="179" applyFont="1" applyBorder="1" applyAlignment="1">
      <alignment horizontal="center"/>
    </xf>
    <xf numFmtId="0" fontId="53" fillId="0" borderId="2" xfId="75" applyNumberFormat="1" applyFont="1" applyFill="1" applyBorder="1" applyAlignment="1" applyProtection="1">
      <alignment horizontal="right"/>
    </xf>
    <xf numFmtId="0" fontId="53" fillId="0" borderId="26" xfId="75" applyNumberFormat="1" applyFont="1" applyFill="1" applyBorder="1" applyAlignment="1" applyProtection="1">
      <alignment horizontal="right"/>
    </xf>
    <xf numFmtId="179" fontId="54" fillId="0" borderId="26" xfId="179" applyNumberFormat="1" applyFont="1" applyFill="1" applyBorder="1" applyAlignment="1">
      <alignment horizontal="right"/>
    </xf>
    <xf numFmtId="179" fontId="54" fillId="0" borderId="6" xfId="179" applyNumberFormat="1" applyFont="1" applyFill="1" applyBorder="1" applyAlignment="1">
      <alignment horizontal="right"/>
    </xf>
    <xf numFmtId="0" fontId="53" fillId="0" borderId="0" xfId="75" applyNumberFormat="1" applyFont="1" applyFill="1" applyBorder="1" applyAlignment="1" applyProtection="1">
      <alignment horizontal="right"/>
    </xf>
    <xf numFmtId="179" fontId="54" fillId="0" borderId="0" xfId="179" applyNumberFormat="1" applyFont="1" applyFill="1" applyBorder="1" applyAlignment="1">
      <alignment horizontal="right"/>
    </xf>
    <xf numFmtId="0" fontId="42" fillId="2" borderId="3" xfId="19" applyFont="1" applyFill="1" applyBorder="1" applyAlignment="1">
      <alignment horizontal="center" vertical="center"/>
    </xf>
    <xf numFmtId="174" fontId="42" fillId="2" borderId="1" xfId="19" applyNumberFormat="1" applyFont="1" applyFill="1" applyBorder="1" applyAlignment="1">
      <alignment horizontal="center" vertical="center"/>
    </xf>
    <xf numFmtId="0" fontId="55" fillId="0" borderId="29" xfId="19" applyFont="1" applyBorder="1" applyAlignment="1">
      <alignment horizontal="center" vertical="center"/>
    </xf>
    <xf numFmtId="0" fontId="55" fillId="0" borderId="30" xfId="19" applyFont="1" applyBorder="1" applyAlignment="1">
      <alignment horizontal="center" vertical="center"/>
    </xf>
    <xf numFmtId="0" fontId="1" fillId="0" borderId="30" xfId="19" applyBorder="1" applyAlignment="1">
      <alignment horizontal="center" vertical="center"/>
    </xf>
    <xf numFmtId="0" fontId="55" fillId="0" borderId="32" xfId="19" applyFont="1" applyBorder="1" applyAlignment="1">
      <alignment horizontal="center" vertical="center"/>
    </xf>
    <xf numFmtId="0" fontId="55" fillId="0" borderId="1" xfId="19" applyFont="1" applyBorder="1" applyAlignment="1">
      <alignment horizontal="center" vertical="center"/>
    </xf>
    <xf numFmtId="4" fontId="41" fillId="0" borderId="29" xfId="19" applyNumberFormat="1" applyFont="1" applyBorder="1" applyAlignment="1">
      <alignment horizontal="center" vertical="center"/>
    </xf>
    <xf numFmtId="4" fontId="41" fillId="0" borderId="30" xfId="19" applyNumberFormat="1" applyFont="1" applyBorder="1" applyAlignment="1">
      <alignment horizontal="center" vertical="center"/>
    </xf>
    <xf numFmtId="2" fontId="43" fillId="0" borderId="30" xfId="19" applyNumberFormat="1" applyFont="1" applyBorder="1" applyAlignment="1">
      <alignment horizontal="center" vertical="center"/>
    </xf>
    <xf numFmtId="4" fontId="41" fillId="0" borderId="31" xfId="19" applyNumberFormat="1" applyFont="1" applyBorder="1" applyAlignment="1">
      <alignment horizontal="center" vertical="center"/>
    </xf>
    <xf numFmtId="4" fontId="41" fillId="0" borderId="1" xfId="19" applyNumberFormat="1" applyFont="1" applyBorder="1" applyAlignment="1">
      <alignment horizontal="center" vertical="center"/>
    </xf>
    <xf numFmtId="0" fontId="52" fillId="0" borderId="1" xfId="179" applyFont="1" applyFill="1" applyBorder="1" applyAlignment="1">
      <alignment horizontal="right" vertical="top"/>
    </xf>
    <xf numFmtId="0" fontId="41" fillId="0" borderId="1" xfId="19" applyFont="1" applyFill="1" applyBorder="1" applyAlignment="1">
      <alignment horizontal="left" vertical="center" wrapText="1"/>
    </xf>
    <xf numFmtId="49" fontId="41" fillId="0" borderId="0" xfId="19" applyNumberFormat="1" applyFont="1" applyBorder="1" applyAlignment="1">
      <alignment horizontal="center" vertical="center"/>
    </xf>
    <xf numFmtId="49" fontId="42" fillId="5" borderId="1" xfId="19" applyNumberFormat="1" applyFont="1" applyFill="1" applyBorder="1" applyAlignment="1">
      <alignment horizontal="center" vertical="center" wrapText="1"/>
    </xf>
    <xf numFmtId="49" fontId="42" fillId="2" borderId="1" xfId="146" applyNumberFormat="1" applyFont="1" applyFill="1" applyBorder="1" applyAlignment="1">
      <alignment horizontal="center" vertical="center"/>
    </xf>
    <xf numFmtId="49" fontId="43" fillId="0" borderId="1" xfId="146" applyNumberFormat="1" applyFont="1" applyFill="1" applyBorder="1" applyAlignment="1">
      <alignment horizontal="center" vertical="center"/>
    </xf>
    <xf numFmtId="49" fontId="42" fillId="5" borderId="1" xfId="146" applyNumberFormat="1" applyFont="1" applyFill="1" applyBorder="1" applyAlignment="1">
      <alignment horizontal="center" vertical="center"/>
    </xf>
    <xf numFmtId="49" fontId="42" fillId="0" borderId="0" xfId="146" applyNumberFormat="1" applyFont="1" applyFill="1" applyBorder="1" applyAlignment="1">
      <alignment horizontal="center" vertical="center"/>
    </xf>
    <xf numFmtId="49" fontId="43" fillId="0" borderId="0" xfId="19" applyNumberFormat="1" applyFont="1" applyFill="1" applyAlignment="1">
      <alignment horizontal="center" vertical="center"/>
    </xf>
    <xf numFmtId="49" fontId="43" fillId="0" borderId="0" xfId="19" applyNumberFormat="1" applyFont="1" applyFill="1" applyBorder="1" applyAlignment="1">
      <alignment horizontal="center" vertical="center"/>
    </xf>
    <xf numFmtId="49" fontId="42" fillId="0" borderId="0" xfId="19" applyNumberFormat="1" applyFont="1" applyFill="1" applyAlignment="1">
      <alignment horizontal="center" vertical="center"/>
    </xf>
    <xf numFmtId="49" fontId="43" fillId="0" borderId="0" xfId="19" applyNumberFormat="1" applyFont="1"/>
    <xf numFmtId="49" fontId="43" fillId="0" borderId="0" xfId="19" applyNumberFormat="1" applyFont="1" applyAlignment="1">
      <alignment vertical="top" wrapText="1"/>
    </xf>
    <xf numFmtId="49" fontId="43" fillId="0" borderId="0" xfId="19" applyNumberFormat="1" applyFont="1" applyAlignment="1">
      <alignment horizontal="center" vertical="center"/>
    </xf>
    <xf numFmtId="0" fontId="45" fillId="54" borderId="1" xfId="19" applyFont="1" applyFill="1" applyBorder="1" applyAlignment="1">
      <alignment horizontal="center" vertical="center"/>
    </xf>
    <xf numFmtId="0" fontId="45" fillId="54" borderId="1" xfId="19" applyFont="1" applyFill="1" applyBorder="1" applyAlignment="1">
      <alignment horizontal="left" vertical="center" wrapText="1"/>
    </xf>
    <xf numFmtId="0" fontId="56" fillId="54" borderId="3" xfId="19" applyFont="1" applyFill="1" applyBorder="1" applyAlignment="1">
      <alignment horizontal="center" vertical="center"/>
    </xf>
    <xf numFmtId="174" fontId="56" fillId="54" borderId="3" xfId="19" applyNumberFormat="1" applyFont="1" applyFill="1" applyBorder="1" applyAlignment="1">
      <alignment horizontal="center" vertical="center"/>
    </xf>
    <xf numFmtId="173" fontId="56" fillId="54" borderId="3" xfId="147" applyNumberFormat="1" applyFont="1" applyFill="1" applyBorder="1" applyAlignment="1">
      <alignment vertical="center"/>
    </xf>
    <xf numFmtId="173" fontId="45" fillId="54" borderId="1" xfId="147" applyNumberFormat="1" applyFont="1" applyFill="1" applyBorder="1" applyAlignment="1">
      <alignment vertical="center"/>
    </xf>
    <xf numFmtId="9" fontId="45" fillId="54" borderId="1" xfId="146" applyFont="1" applyFill="1" applyBorder="1" applyAlignment="1">
      <alignment horizontal="center" vertical="center"/>
    </xf>
    <xf numFmtId="49" fontId="45" fillId="54" borderId="1" xfId="146" applyNumberFormat="1" applyFont="1" applyFill="1" applyBorder="1" applyAlignment="1">
      <alignment horizontal="center" vertical="center"/>
    </xf>
    <xf numFmtId="0" fontId="41" fillId="0" borderId="0" xfId="0" applyFont="1"/>
    <xf numFmtId="0" fontId="46" fillId="2" borderId="1" xfId="0" applyFont="1" applyFill="1" applyBorder="1" applyAlignment="1">
      <alignment horizontal="center"/>
    </xf>
    <xf numFmtId="0" fontId="41" fillId="0" borderId="1" xfId="0" applyFont="1" applyBorder="1"/>
    <xf numFmtId="180" fontId="41" fillId="0" borderId="1" xfId="180" applyNumberFormat="1" applyFont="1" applyBorder="1"/>
    <xf numFmtId="0" fontId="41" fillId="0" borderId="1" xfId="0" applyFont="1" applyBorder="1" applyAlignment="1">
      <alignment horizontal="left" wrapText="1"/>
    </xf>
    <xf numFmtId="180" fontId="46" fillId="2" borderId="3" xfId="0" applyNumberFormat="1" applyFont="1" applyFill="1" applyBorder="1"/>
    <xf numFmtId="180" fontId="46" fillId="0" borderId="1" xfId="0" applyNumberFormat="1" applyFont="1" applyBorder="1"/>
    <xf numFmtId="0" fontId="46" fillId="2" borderId="3" xfId="0" applyFont="1" applyFill="1" applyBorder="1" applyAlignment="1">
      <alignment horizontal="center"/>
    </xf>
    <xf numFmtId="9" fontId="42" fillId="5" borderId="1" xfId="161" applyFont="1" applyFill="1" applyBorder="1" applyAlignment="1">
      <alignment horizontal="center" vertical="center"/>
    </xf>
    <xf numFmtId="0" fontId="57" fillId="0" borderId="29" xfId="0" applyFont="1" applyBorder="1" applyAlignment="1">
      <alignment vertical="top" wrapText="1"/>
    </xf>
    <xf numFmtId="0" fontId="57" fillId="0" borderId="29" xfId="0" applyFont="1" applyBorder="1" applyAlignment="1">
      <alignment horizontal="center" vertical="top"/>
    </xf>
    <xf numFmtId="181" fontId="57" fillId="0" borderId="29" xfId="0" applyNumberFormat="1" applyFont="1" applyBorder="1" applyAlignment="1">
      <alignment horizontal="center" vertical="top"/>
    </xf>
    <xf numFmtId="179" fontId="57" fillId="0" borderId="29" xfId="0" applyNumberFormat="1" applyFont="1" applyBorder="1" applyAlignment="1">
      <alignment horizontal="right" vertical="top"/>
    </xf>
    <xf numFmtId="0" fontId="57" fillId="0" borderId="29" xfId="0" applyFont="1" applyBorder="1" applyAlignment="1">
      <alignment horizontal="center" vertical="top" wrapText="1"/>
    </xf>
    <xf numFmtId="181" fontId="57" fillId="0" borderId="29" xfId="0" applyNumberFormat="1" applyFont="1" applyBorder="1" applyAlignment="1">
      <alignment horizontal="center" vertical="top" wrapText="1"/>
    </xf>
    <xf numFmtId="179" fontId="57" fillId="0" borderId="29" xfId="0" applyNumberFormat="1" applyFont="1" applyBorder="1" applyAlignment="1">
      <alignment horizontal="right" vertical="top" wrapText="1"/>
    </xf>
    <xf numFmtId="180" fontId="52" fillId="0" borderId="1" xfId="180" applyNumberFormat="1" applyFont="1" applyBorder="1" applyAlignment="1">
      <alignment horizontal="right" vertical="top"/>
    </xf>
    <xf numFmtId="0" fontId="57" fillId="0" borderId="29" xfId="0" applyFont="1" applyBorder="1" applyAlignment="1">
      <alignment horizontal="center" vertical="center" wrapText="1"/>
    </xf>
    <xf numFmtId="0" fontId="52" fillId="0" borderId="1" xfId="179" applyFont="1" applyFill="1" applyBorder="1" applyAlignment="1">
      <alignment vertical="top" wrapText="1"/>
    </xf>
    <xf numFmtId="0" fontId="52" fillId="0" borderId="1" xfId="179" applyFont="1" applyFill="1" applyBorder="1" applyAlignment="1">
      <alignment horizontal="center" vertical="top"/>
    </xf>
    <xf numFmtId="178" fontId="52" fillId="0" borderId="1" xfId="179" applyNumberFormat="1" applyFont="1" applyFill="1" applyBorder="1" applyAlignment="1">
      <alignment horizontal="center" vertical="top"/>
    </xf>
    <xf numFmtId="173" fontId="43" fillId="0" borderId="0" xfId="19" applyNumberFormat="1" applyFont="1" applyFill="1" applyAlignment="1">
      <alignment horizontal="center" vertical="center"/>
    </xf>
    <xf numFmtId="49" fontId="43" fillId="0" borderId="1" xfId="19" applyNumberFormat="1" applyFont="1" applyFill="1" applyBorder="1" applyAlignment="1">
      <alignment horizontal="justify" vertical="top" wrapText="1"/>
    </xf>
    <xf numFmtId="0" fontId="52" fillId="0" borderId="1" xfId="179" applyFont="1" applyBorder="1" applyAlignment="1">
      <alignment horizontal="justify" vertical="top" wrapText="1"/>
    </xf>
    <xf numFmtId="0" fontId="10" fillId="9" borderId="1" xfId="0" applyFont="1" applyFill="1" applyBorder="1" applyAlignment="1">
      <alignment vertical="center"/>
    </xf>
    <xf numFmtId="0" fontId="11" fillId="9" borderId="1" xfId="0" applyFont="1" applyFill="1" applyBorder="1" applyAlignment="1">
      <alignment vertical="center"/>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17" fillId="9" borderId="4" xfId="0" applyFont="1" applyFill="1" applyBorder="1" applyAlignment="1">
      <alignment horizontal="center"/>
    </xf>
    <xf numFmtId="0" fontId="17" fillId="9" borderId="3" xfId="0" applyFont="1" applyFill="1" applyBorder="1" applyAlignment="1">
      <alignment horizont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justify" wrapText="1"/>
    </xf>
    <xf numFmtId="0" fontId="8" fillId="0" borderId="3" xfId="0" applyFont="1" applyFill="1" applyBorder="1" applyAlignment="1">
      <alignment horizontal="center" vertical="justify" wrapText="1"/>
    </xf>
    <xf numFmtId="0" fontId="9" fillId="9" borderId="10" xfId="0" applyFont="1" applyFill="1" applyBorder="1" applyAlignment="1">
      <alignment horizontal="center" vertical="center"/>
    </xf>
    <xf numFmtId="0" fontId="9" fillId="9" borderId="3" xfId="0" applyFont="1" applyFill="1" applyBorder="1" applyAlignment="1">
      <alignment horizontal="center" vertical="center"/>
    </xf>
    <xf numFmtId="0" fontId="17" fillId="9" borderId="8"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3"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4" fontId="43" fillId="0" borderId="1" xfId="19" applyNumberFormat="1" applyFont="1" applyFill="1" applyBorder="1" applyAlignment="1">
      <alignment horizontal="right" vertical="center"/>
    </xf>
    <xf numFmtId="0" fontId="42" fillId="7" borderId="1" xfId="19" applyFont="1" applyFill="1" applyBorder="1" applyAlignment="1">
      <alignment horizontal="center" vertical="center"/>
    </xf>
    <xf numFmtId="0" fontId="48" fillId="52" borderId="2" xfId="179" applyFont="1" applyFill="1" applyBorder="1" applyAlignment="1">
      <alignment horizontal="center" vertical="center"/>
    </xf>
    <xf numFmtId="0" fontId="48" fillId="52" borderId="26" xfId="179" applyFont="1" applyFill="1" applyBorder="1" applyAlignment="1">
      <alignment horizontal="center" vertical="center"/>
    </xf>
    <xf numFmtId="0" fontId="48" fillId="52" borderId="6" xfId="179" applyFont="1" applyFill="1" applyBorder="1" applyAlignment="1">
      <alignment horizontal="center" vertical="center"/>
    </xf>
    <xf numFmtId="0" fontId="49" fillId="0" borderId="2" xfId="179" applyFont="1" applyBorder="1" applyAlignment="1">
      <alignment horizontal="center" wrapText="1"/>
    </xf>
    <xf numFmtId="0" fontId="49" fillId="0" borderId="6" xfId="179" applyFont="1" applyBorder="1" applyAlignment="1">
      <alignment horizontal="center" wrapText="1"/>
    </xf>
    <xf numFmtId="0" fontId="49" fillId="0" borderId="4" xfId="179" applyFont="1" applyBorder="1" applyAlignment="1">
      <alignment horizontal="center" wrapText="1"/>
    </xf>
    <xf numFmtId="0" fontId="49" fillId="0" borderId="3" xfId="179" applyFont="1" applyBorder="1" applyAlignment="1">
      <alignment horizontal="center" wrapText="1"/>
    </xf>
    <xf numFmtId="0" fontId="50" fillId="0" borderId="2" xfId="179" applyFont="1" applyBorder="1" applyAlignment="1">
      <alignment horizontal="center" vertical="center" wrapText="1"/>
    </xf>
    <xf numFmtId="0" fontId="50" fillId="0" borderId="6" xfId="179" applyFont="1" applyBorder="1" applyAlignment="1">
      <alignment horizontal="center" vertical="center" wrapText="1"/>
    </xf>
    <xf numFmtId="0" fontId="51" fillId="53" borderId="1" xfId="75" applyNumberFormat="1" applyFont="1" applyFill="1" applyBorder="1" applyAlignment="1" applyProtection="1">
      <alignment horizontal="center"/>
    </xf>
    <xf numFmtId="2" fontId="52" fillId="0" borderId="2" xfId="179" applyNumberFormat="1" applyFont="1" applyBorder="1" applyAlignment="1">
      <alignment horizontal="justify" vertical="top" wrapText="1"/>
    </xf>
    <xf numFmtId="2" fontId="52" fillId="0" borderId="26" xfId="179" applyNumberFormat="1" applyFont="1" applyBorder="1" applyAlignment="1">
      <alignment horizontal="justify" vertical="top" wrapText="1"/>
    </xf>
    <xf numFmtId="2" fontId="52" fillId="0" borderId="6" xfId="179" applyNumberFormat="1" applyFont="1" applyBorder="1" applyAlignment="1">
      <alignment horizontal="justify" vertical="top" wrapText="1"/>
    </xf>
    <xf numFmtId="0" fontId="53" fillId="52" borderId="1" xfId="75" applyNumberFormat="1" applyFont="1" applyFill="1" applyBorder="1" applyAlignment="1" applyProtection="1">
      <alignment horizontal="right"/>
    </xf>
    <xf numFmtId="179" fontId="54" fillId="52" borderId="1" xfId="179" applyNumberFormat="1" applyFont="1" applyFill="1" applyBorder="1" applyAlignment="1">
      <alignment horizontal="right"/>
    </xf>
    <xf numFmtId="2" fontId="52" fillId="0" borderId="2" xfId="179" applyNumberFormat="1" applyFont="1" applyBorder="1" applyAlignment="1">
      <alignment horizontal="left" vertical="center" wrapText="1"/>
    </xf>
    <xf numFmtId="2" fontId="52" fillId="0" borderId="26" xfId="179" applyNumberFormat="1" applyFont="1" applyBorder="1" applyAlignment="1">
      <alignment horizontal="left" vertical="center" wrapText="1"/>
    </xf>
    <xf numFmtId="2" fontId="52" fillId="0" borderId="6" xfId="179" applyNumberFormat="1" applyFont="1" applyBorder="1" applyAlignment="1">
      <alignment horizontal="left" vertical="center" wrapText="1"/>
    </xf>
    <xf numFmtId="0" fontId="49" fillId="0" borderId="28" xfId="179" applyFont="1" applyBorder="1" applyAlignment="1">
      <alignment horizontal="center" wrapText="1"/>
    </xf>
    <xf numFmtId="0" fontId="51" fillId="53" borderId="2" xfId="75" applyNumberFormat="1" applyFont="1" applyFill="1" applyBorder="1" applyAlignment="1" applyProtection="1">
      <alignment horizontal="center"/>
    </xf>
    <xf numFmtId="0" fontId="51" fillId="53" borderId="26" xfId="75" applyNumberFormat="1" applyFont="1" applyFill="1" applyBorder="1" applyAlignment="1" applyProtection="1">
      <alignment horizontal="center"/>
    </xf>
    <xf numFmtId="0" fontId="51" fillId="53" borderId="6" xfId="75" applyNumberFormat="1" applyFont="1" applyFill="1" applyBorder="1" applyAlignment="1" applyProtection="1">
      <alignment horizontal="center"/>
    </xf>
    <xf numFmtId="0" fontId="53" fillId="52" borderId="2" xfId="75" applyNumberFormat="1" applyFont="1" applyFill="1" applyBorder="1" applyAlignment="1" applyProtection="1">
      <alignment horizontal="right"/>
    </xf>
    <xf numFmtId="0" fontId="53" fillId="52" borderId="26" xfId="75" applyNumberFormat="1" applyFont="1" applyFill="1" applyBorder="1" applyAlignment="1" applyProtection="1">
      <alignment horizontal="right"/>
    </xf>
    <xf numFmtId="0" fontId="53" fillId="52" borderId="6" xfId="75" applyNumberFormat="1" applyFont="1" applyFill="1" applyBorder="1" applyAlignment="1" applyProtection="1">
      <alignment horizontal="right"/>
    </xf>
    <xf numFmtId="179" fontId="54" fillId="52" borderId="2" xfId="179" applyNumberFormat="1" applyFont="1" applyFill="1" applyBorder="1" applyAlignment="1">
      <alignment horizontal="right"/>
    </xf>
    <xf numFmtId="179" fontId="54" fillId="52" borderId="6" xfId="179" applyNumberFormat="1" applyFont="1" applyFill="1" applyBorder="1" applyAlignment="1">
      <alignment horizontal="right"/>
    </xf>
    <xf numFmtId="49" fontId="52" fillId="0" borderId="2" xfId="179" applyNumberFormat="1" applyFont="1" applyBorder="1" applyAlignment="1">
      <alignment horizontal="justify" vertical="top" wrapText="1"/>
    </xf>
    <xf numFmtId="49" fontId="52" fillId="0" borderId="26" xfId="179" applyNumberFormat="1" applyFont="1" applyBorder="1" applyAlignment="1">
      <alignment horizontal="justify" vertical="top" wrapText="1"/>
    </xf>
    <xf numFmtId="49" fontId="52" fillId="0" borderId="6" xfId="179" applyNumberFormat="1" applyFont="1" applyBorder="1" applyAlignment="1">
      <alignment horizontal="justify" vertical="top" wrapText="1"/>
    </xf>
    <xf numFmtId="2" fontId="52" fillId="0" borderId="2" xfId="179" applyNumberFormat="1" applyFont="1" applyFill="1" applyBorder="1" applyAlignment="1">
      <alignment horizontal="justify" vertical="top" wrapText="1"/>
    </xf>
    <xf numFmtId="2" fontId="52" fillId="0" borderId="26" xfId="179" applyNumberFormat="1" applyFont="1" applyFill="1" applyBorder="1" applyAlignment="1">
      <alignment horizontal="justify" vertical="top" wrapText="1"/>
    </xf>
    <xf numFmtId="2" fontId="52" fillId="0" borderId="6" xfId="179" applyNumberFormat="1" applyFont="1" applyFill="1" applyBorder="1" applyAlignment="1">
      <alignment horizontal="justify" vertical="top" wrapText="1"/>
    </xf>
    <xf numFmtId="0" fontId="46" fillId="0" borderId="25" xfId="0" applyFont="1" applyBorder="1" applyAlignment="1">
      <alignment horizontal="center"/>
    </xf>
    <xf numFmtId="0" fontId="46" fillId="0" borderId="12" xfId="0" applyFont="1" applyBorder="1" applyAlignment="1">
      <alignment horizontal="center"/>
    </xf>
  </cellXfs>
  <cellStyles count="181">
    <cellStyle name="_x0002_" xfId="1"/>
    <cellStyle name="_Memorias presu - Santillan agosto 9 - 07" xfId="2"/>
    <cellStyle name="_Presupuesto Versi¢n 1 Vac¡o Central. ALVARO OSORIO" xfId="3"/>
    <cellStyle name="Accent1" xfId="34"/>
    <cellStyle name="Accent1 - 20%" xfId="35"/>
    <cellStyle name="Accent1 - 40%" xfId="36"/>
    <cellStyle name="Accent1 - 60%" xfId="37"/>
    <cellStyle name="Accent2" xfId="38"/>
    <cellStyle name="Accent2 - 20%" xfId="39"/>
    <cellStyle name="Accent2 - 40%" xfId="40"/>
    <cellStyle name="Accent2 - 60%" xfId="41"/>
    <cellStyle name="Accent3" xfId="42"/>
    <cellStyle name="Accent3 - 20%" xfId="43"/>
    <cellStyle name="Accent3 - 40%" xfId="44"/>
    <cellStyle name="Accent3 - 60%" xfId="45"/>
    <cellStyle name="Accent4" xfId="46"/>
    <cellStyle name="Accent4 - 20%" xfId="47"/>
    <cellStyle name="Accent4 - 40%" xfId="48"/>
    <cellStyle name="Accent4 - 60%" xfId="49"/>
    <cellStyle name="Accent5" xfId="50"/>
    <cellStyle name="Accent5 - 20%" xfId="51"/>
    <cellStyle name="Accent5 - 40%" xfId="52"/>
    <cellStyle name="Accent5 - 60%" xfId="53"/>
    <cellStyle name="Accent6" xfId="54"/>
    <cellStyle name="Accent6 - 20%" xfId="55"/>
    <cellStyle name="Accent6 - 40%" xfId="56"/>
    <cellStyle name="Accent6 - 60%" xfId="57"/>
    <cellStyle name="ACTAS" xfId="4"/>
    <cellStyle name="Bad" xfId="58"/>
    <cellStyle name="Calculation" xfId="59"/>
    <cellStyle name="Cancel" xfId="5"/>
    <cellStyle name="Check Cell" xfId="60"/>
    <cellStyle name="Emphasis 1" xfId="61"/>
    <cellStyle name="Emphasis 2" xfId="62"/>
    <cellStyle name="Emphasis 3" xfId="63"/>
    <cellStyle name="Estilo 1" xfId="6"/>
    <cellStyle name="Euro" xfId="7"/>
    <cellStyle name="Euro 2" xfId="152"/>
    <cellStyle name="Excel Built-in Normal 2" xfId="160"/>
    <cellStyle name="Good" xfId="64"/>
    <cellStyle name="Heading 1" xfId="65"/>
    <cellStyle name="Heading 2" xfId="66"/>
    <cellStyle name="Heading 3" xfId="67"/>
    <cellStyle name="Heading 4" xfId="68"/>
    <cellStyle name="Hipervínculo 2" xfId="69"/>
    <cellStyle name="Input" xfId="70"/>
    <cellStyle name="Linked Cell" xfId="71"/>
    <cellStyle name="Millares [0]" xfId="178" builtinId="6"/>
    <cellStyle name="Millares 15" xfId="72"/>
    <cellStyle name="Millares 15 2" xfId="165"/>
    <cellStyle name="Millares 17" xfId="73"/>
    <cellStyle name="Millares 17 2" xfId="166"/>
    <cellStyle name="Millares 2" xfId="8"/>
    <cellStyle name="Millares 2 2" xfId="9"/>
    <cellStyle name="Millares 2 2 2" xfId="74"/>
    <cellStyle name="Millares 2 3" xfId="75"/>
    <cellStyle name="Millares 2 3 2" xfId="167"/>
    <cellStyle name="Millares 21" xfId="76"/>
    <cellStyle name="Millares 21 2" xfId="168"/>
    <cellStyle name="Millares 23" xfId="77"/>
    <cellStyle name="Millares 23 2" xfId="169"/>
    <cellStyle name="Millares 3" xfId="10"/>
    <cellStyle name="Millares 3 2" xfId="28"/>
    <cellStyle name="Millares 3 2 2" xfId="153"/>
    <cellStyle name="Millares 3 2 2 2" xfId="176"/>
    <cellStyle name="Millares 3 2 3" xfId="163"/>
    <cellStyle name="Millares 31" xfId="78"/>
    <cellStyle name="Millares 31 2" xfId="170"/>
    <cellStyle name="Millares 4" xfId="11"/>
    <cellStyle name="Millares 5" xfId="32"/>
    <cellStyle name="Millares 5 2" xfId="154"/>
    <cellStyle name="Moneda" xfId="180" builtinId="4"/>
    <cellStyle name="Moneda [0]" xfId="162" builtinId="7"/>
    <cellStyle name="Moneda [0] 2" xfId="177"/>
    <cellStyle name="Moneda 2" xfId="12"/>
    <cellStyle name="Moneda 2 2" xfId="13"/>
    <cellStyle name="Moneda 2 2 2" xfId="79"/>
    <cellStyle name="Moneda 2 3" xfId="80"/>
    <cellStyle name="Moneda 2 4" xfId="150"/>
    <cellStyle name="Moneda 2_Avance de proyecto cava congelación Pereira" xfId="81"/>
    <cellStyle name="Moneda 3" xfId="14"/>
    <cellStyle name="Moneda 3 2" xfId="29"/>
    <cellStyle name="Moneda 3 2 2" xfId="155"/>
    <cellStyle name="Moneda 3 3" xfId="82"/>
    <cellStyle name="Moneda 3 3 2" xfId="171"/>
    <cellStyle name="Moneda 4" xfId="15"/>
    <cellStyle name="Moneda 5" xfId="16"/>
    <cellStyle name="Moneda 5 2" xfId="17"/>
    <cellStyle name="Moneda 5 2 2" xfId="18"/>
    <cellStyle name="Moneda 5 2 3" xfId="148"/>
    <cellStyle name="Moneda 6" xfId="83"/>
    <cellStyle name="Moneda 6 2" xfId="84"/>
    <cellStyle name="Moneda 6 2 2" xfId="173"/>
    <cellStyle name="Moneda 6 3" xfId="85"/>
    <cellStyle name="Moneda 6 3 2" xfId="174"/>
    <cellStyle name="Moneda 6 4" xfId="149"/>
    <cellStyle name="Moneda 6 5" xfId="172"/>
    <cellStyle name="Moneda 7" xfId="86"/>
    <cellStyle name="Moneda 8" xfId="87"/>
    <cellStyle name="Moneda 8 2" xfId="175"/>
    <cellStyle name="Moneda_Plataforma recorte" xfId="147"/>
    <cellStyle name="Normal" xfId="0" builtinId="0"/>
    <cellStyle name="Normal 2" xfId="19"/>
    <cellStyle name="Normal 2 10 2" xfId="179"/>
    <cellStyle name="Normal 2 2" xfId="20"/>
    <cellStyle name="Normal 2 2 2" xfId="88"/>
    <cellStyle name="Normal 2 2 3" xfId="89"/>
    <cellStyle name="Normal 2 3" xfId="90"/>
    <cellStyle name="Normal 2_~4113138" xfId="21"/>
    <cellStyle name="Normal 3" xfId="22"/>
    <cellStyle name="Normal 3 2" xfId="23"/>
    <cellStyle name="Normal 3 2 2" xfId="156"/>
    <cellStyle name="Normal 3 3" xfId="30"/>
    <cellStyle name="Normal 3 3 2" xfId="157"/>
    <cellStyle name="Normal 3 4" xfId="91"/>
    <cellStyle name="Normal 4" xfId="24"/>
    <cellStyle name="Normal 5" xfId="33"/>
    <cellStyle name="Normal 5 2" xfId="158"/>
    <cellStyle name="Normal 5 3" xfId="164"/>
    <cellStyle name="Note" xfId="92"/>
    <cellStyle name="Output" xfId="93"/>
    <cellStyle name="Porcentaje" xfId="161" builtinId="5"/>
    <cellStyle name="Porcentaje 2" xfId="146"/>
    <cellStyle name="Porcentual 16" xfId="94"/>
    <cellStyle name="Porcentual 18" xfId="95"/>
    <cellStyle name="Porcentual 2" xfId="25"/>
    <cellStyle name="Porcentual 2 2" xfId="26"/>
    <cellStyle name="Porcentual 2 2 2" xfId="96"/>
    <cellStyle name="Porcentual 2 3" xfId="97"/>
    <cellStyle name="Porcentual 22" xfId="98"/>
    <cellStyle name="Porcentual 24" xfId="99"/>
    <cellStyle name="Porcentual 3" xfId="27"/>
    <cellStyle name="Porcentual 3 2" xfId="31"/>
    <cellStyle name="Porcentual 3 2 2" xfId="159"/>
    <cellStyle name="Porcentual 3 3" xfId="100"/>
    <cellStyle name="Porcentual 32" xfId="101"/>
    <cellStyle name="Porcentual 4" xfId="102"/>
    <cellStyle name="Porcentual 4 2" xfId="151"/>
    <cellStyle name="Porcentual 5" xfId="103"/>
    <cellStyle name="Porcentual 6" xfId="104"/>
    <cellStyle name="SAPBEXaggData" xfId="105"/>
    <cellStyle name="SAPBEXaggDataEmph" xfId="106"/>
    <cellStyle name="SAPBEXaggItem" xfId="107"/>
    <cellStyle name="SAPBEXaggItemX" xfId="108"/>
    <cellStyle name="SAPBEXchaText" xfId="109"/>
    <cellStyle name="SAPBEXexcBad7" xfId="110"/>
    <cellStyle name="SAPBEXexcBad8" xfId="111"/>
    <cellStyle name="SAPBEXexcBad9" xfId="112"/>
    <cellStyle name="SAPBEXexcCritical4" xfId="113"/>
    <cellStyle name="SAPBEXexcCritical5" xfId="114"/>
    <cellStyle name="SAPBEXexcCritical6" xfId="115"/>
    <cellStyle name="SAPBEXexcGood1" xfId="116"/>
    <cellStyle name="SAPBEXexcGood2" xfId="117"/>
    <cellStyle name="SAPBEXexcGood3" xfId="118"/>
    <cellStyle name="SAPBEXfilterDrill" xfId="119"/>
    <cellStyle name="SAPBEXfilterItem" xfId="120"/>
    <cellStyle name="SAPBEXfilterText" xfId="121"/>
    <cellStyle name="SAPBEXformats" xfId="122"/>
    <cellStyle name="SAPBEXheaderItem" xfId="123"/>
    <cellStyle name="SAPBEXheaderText" xfId="124"/>
    <cellStyle name="SAPBEXHLevel0" xfId="125"/>
    <cellStyle name="SAPBEXHLevel0X" xfId="126"/>
    <cellStyle name="SAPBEXHLevel1" xfId="127"/>
    <cellStyle name="SAPBEXHLevel1X" xfId="128"/>
    <cellStyle name="SAPBEXHLevel2" xfId="129"/>
    <cellStyle name="SAPBEXHLevel2X" xfId="130"/>
    <cellStyle name="SAPBEXHLevel3" xfId="131"/>
    <cellStyle name="SAPBEXHLevel3X" xfId="132"/>
    <cellStyle name="SAPBEXinputData" xfId="133"/>
    <cellStyle name="SAPBEXresData" xfId="134"/>
    <cellStyle name="SAPBEXresDataEmph" xfId="135"/>
    <cellStyle name="SAPBEXresItem" xfId="136"/>
    <cellStyle name="SAPBEXresItemX" xfId="137"/>
    <cellStyle name="SAPBEXstdData" xfId="138"/>
    <cellStyle name="SAPBEXstdDataEmph" xfId="139"/>
    <cellStyle name="SAPBEXstdItem" xfId="140"/>
    <cellStyle name="SAPBEXstdItemX" xfId="141"/>
    <cellStyle name="SAPBEXtitle" xfId="142"/>
    <cellStyle name="SAPBEXundefined" xfId="143"/>
    <cellStyle name="Sheet Title" xfId="144"/>
    <cellStyle name="Warning Text" xfId="145"/>
  </cellStyles>
  <dxfs count="0"/>
  <tableStyles count="0" defaultTableStyle="TableStyleMedium9" defaultPivotStyle="PivotStyleLight16"/>
  <colors>
    <mruColors>
      <color rgb="FFFFFF99"/>
      <color rgb="FFD6009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11</xdr:col>
      <xdr:colOff>138250</xdr:colOff>
      <xdr:row>65</xdr:row>
      <xdr:rowOff>113743</xdr:rowOff>
    </xdr:to>
    <xdr:grpSp>
      <xdr:nvGrpSpPr>
        <xdr:cNvPr id="2" name="177 Grupo">
          <a:extLst>
            <a:ext uri="{FF2B5EF4-FFF2-40B4-BE49-F238E27FC236}">
              <a16:creationId xmlns:a16="http://schemas.microsoft.com/office/drawing/2014/main" xmlns="" id="{00000000-0008-0000-0100-000002000000}"/>
            </a:ext>
          </a:extLst>
        </xdr:cNvPr>
        <xdr:cNvGrpSpPr>
          <a:grpSpLocks/>
        </xdr:cNvGrpSpPr>
      </xdr:nvGrpSpPr>
      <xdr:grpSpPr bwMode="auto">
        <a:xfrm>
          <a:off x="0" y="4953000"/>
          <a:ext cx="10369221" cy="7543243"/>
          <a:chOff x="628294" y="1080681"/>
          <a:chExt cx="8229986" cy="4777211"/>
        </a:xfrm>
      </xdr:grpSpPr>
      <xdr:sp macro="" textlink="">
        <xdr:nvSpPr>
          <xdr:cNvPr id="3" name="Rectangle 21">
            <a:extLst>
              <a:ext uri="{FF2B5EF4-FFF2-40B4-BE49-F238E27FC236}">
                <a16:creationId xmlns:a16="http://schemas.microsoft.com/office/drawing/2014/main" xmlns="" id="{00000000-0008-0000-0100-000003000000}"/>
              </a:ext>
            </a:extLst>
          </xdr:cNvPr>
          <xdr:cNvSpPr>
            <a:spLocks noChangeArrowheads="1"/>
          </xdr:cNvSpPr>
        </xdr:nvSpPr>
        <xdr:spPr bwMode="auto">
          <a:xfrm>
            <a:off x="2652243" y="1182328"/>
            <a:ext cx="1368227" cy="1030085"/>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4" name="Rectangle 22">
            <a:extLst>
              <a:ext uri="{FF2B5EF4-FFF2-40B4-BE49-F238E27FC236}">
                <a16:creationId xmlns:a16="http://schemas.microsoft.com/office/drawing/2014/main" xmlns="" id="{00000000-0008-0000-0100-000004000000}"/>
              </a:ext>
            </a:extLst>
          </xdr:cNvPr>
          <xdr:cNvSpPr>
            <a:spLocks noChangeArrowheads="1"/>
          </xdr:cNvSpPr>
        </xdr:nvSpPr>
        <xdr:spPr bwMode="auto">
          <a:xfrm>
            <a:off x="4015076" y="1182328"/>
            <a:ext cx="1580383" cy="1030085"/>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5" name="Rectangle 23">
            <a:extLst>
              <a:ext uri="{FF2B5EF4-FFF2-40B4-BE49-F238E27FC236}">
                <a16:creationId xmlns:a16="http://schemas.microsoft.com/office/drawing/2014/main" xmlns="" id="{00000000-0008-0000-0100-000005000000}"/>
              </a:ext>
            </a:extLst>
          </xdr:cNvPr>
          <xdr:cNvSpPr>
            <a:spLocks noChangeArrowheads="1"/>
          </xdr:cNvSpPr>
        </xdr:nvSpPr>
        <xdr:spPr bwMode="auto">
          <a:xfrm>
            <a:off x="5588267" y="1182328"/>
            <a:ext cx="3085252" cy="1030085"/>
          </a:xfrm>
          <a:prstGeom prst="rect">
            <a:avLst/>
          </a:prstGeom>
          <a:solidFill>
            <a:srgbClr val="FF33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6" name="Rectangle 24">
            <a:extLst>
              <a:ext uri="{FF2B5EF4-FFF2-40B4-BE49-F238E27FC236}">
                <a16:creationId xmlns:a16="http://schemas.microsoft.com/office/drawing/2014/main" xmlns="" id="{00000000-0008-0000-0100-000006000000}"/>
              </a:ext>
            </a:extLst>
          </xdr:cNvPr>
          <xdr:cNvSpPr>
            <a:spLocks noChangeArrowheads="1"/>
          </xdr:cNvSpPr>
        </xdr:nvSpPr>
        <xdr:spPr bwMode="auto">
          <a:xfrm>
            <a:off x="2652243" y="2206845"/>
            <a:ext cx="1368227" cy="979973"/>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7" name="Rectangle 25">
            <a:extLst>
              <a:ext uri="{FF2B5EF4-FFF2-40B4-BE49-F238E27FC236}">
                <a16:creationId xmlns:a16="http://schemas.microsoft.com/office/drawing/2014/main" xmlns="" id="{00000000-0008-0000-0100-000007000000}"/>
              </a:ext>
            </a:extLst>
          </xdr:cNvPr>
          <xdr:cNvSpPr>
            <a:spLocks noChangeArrowheads="1"/>
          </xdr:cNvSpPr>
        </xdr:nvSpPr>
        <xdr:spPr bwMode="auto">
          <a:xfrm>
            <a:off x="4015076" y="2206845"/>
            <a:ext cx="1580383" cy="979973"/>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 name="Rectangle 26">
            <a:extLst>
              <a:ext uri="{FF2B5EF4-FFF2-40B4-BE49-F238E27FC236}">
                <a16:creationId xmlns:a16="http://schemas.microsoft.com/office/drawing/2014/main" xmlns="" id="{00000000-0008-0000-0100-000008000000}"/>
              </a:ext>
            </a:extLst>
          </xdr:cNvPr>
          <xdr:cNvSpPr>
            <a:spLocks noChangeArrowheads="1"/>
          </xdr:cNvSpPr>
        </xdr:nvSpPr>
        <xdr:spPr bwMode="auto">
          <a:xfrm>
            <a:off x="5588267" y="2206845"/>
            <a:ext cx="1504870" cy="979973"/>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 name="Rectangle 27">
            <a:extLst>
              <a:ext uri="{FF2B5EF4-FFF2-40B4-BE49-F238E27FC236}">
                <a16:creationId xmlns:a16="http://schemas.microsoft.com/office/drawing/2014/main" xmlns="" id="{00000000-0008-0000-0100-000009000000}"/>
              </a:ext>
            </a:extLst>
          </xdr:cNvPr>
          <xdr:cNvSpPr>
            <a:spLocks noChangeArrowheads="1"/>
          </xdr:cNvSpPr>
        </xdr:nvSpPr>
        <xdr:spPr bwMode="auto">
          <a:xfrm>
            <a:off x="7085945" y="2206845"/>
            <a:ext cx="1587575" cy="979973"/>
          </a:xfrm>
          <a:prstGeom prst="rect">
            <a:avLst/>
          </a:prstGeom>
          <a:solidFill>
            <a:srgbClr val="FF33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 name="Rectangle 28">
            <a:extLst>
              <a:ext uri="{FF2B5EF4-FFF2-40B4-BE49-F238E27FC236}">
                <a16:creationId xmlns:a16="http://schemas.microsoft.com/office/drawing/2014/main" xmlns="" id="{00000000-0008-0000-0100-00000A000000}"/>
              </a:ext>
            </a:extLst>
          </xdr:cNvPr>
          <xdr:cNvSpPr>
            <a:spLocks noChangeArrowheads="1"/>
          </xdr:cNvSpPr>
        </xdr:nvSpPr>
        <xdr:spPr bwMode="auto">
          <a:xfrm>
            <a:off x="2652243" y="3182643"/>
            <a:ext cx="1368227" cy="1094118"/>
          </a:xfrm>
          <a:prstGeom prst="rect">
            <a:avLst/>
          </a:prstGeom>
          <a:solidFill>
            <a:srgbClr val="66FF33"/>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 name="Rectangle 29">
            <a:extLst>
              <a:ext uri="{FF2B5EF4-FFF2-40B4-BE49-F238E27FC236}">
                <a16:creationId xmlns:a16="http://schemas.microsoft.com/office/drawing/2014/main" xmlns="" id="{00000000-0008-0000-0100-00000B000000}"/>
              </a:ext>
            </a:extLst>
          </xdr:cNvPr>
          <xdr:cNvSpPr>
            <a:spLocks noChangeArrowheads="1"/>
          </xdr:cNvSpPr>
        </xdr:nvSpPr>
        <xdr:spPr bwMode="auto">
          <a:xfrm>
            <a:off x="4015076" y="3182643"/>
            <a:ext cx="1580383" cy="1094118"/>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 name="Rectangle 30">
            <a:extLst>
              <a:ext uri="{FF2B5EF4-FFF2-40B4-BE49-F238E27FC236}">
                <a16:creationId xmlns:a16="http://schemas.microsoft.com/office/drawing/2014/main" xmlns="" id="{00000000-0008-0000-0100-00000C000000}"/>
              </a:ext>
            </a:extLst>
          </xdr:cNvPr>
          <xdr:cNvSpPr>
            <a:spLocks noChangeArrowheads="1"/>
          </xdr:cNvSpPr>
        </xdr:nvSpPr>
        <xdr:spPr bwMode="auto">
          <a:xfrm>
            <a:off x="5588267" y="3182643"/>
            <a:ext cx="1504870" cy="1094118"/>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 name="Rectangle 31">
            <a:extLst>
              <a:ext uri="{FF2B5EF4-FFF2-40B4-BE49-F238E27FC236}">
                <a16:creationId xmlns:a16="http://schemas.microsoft.com/office/drawing/2014/main" xmlns="" id="{00000000-0008-0000-0100-00000D000000}"/>
              </a:ext>
            </a:extLst>
          </xdr:cNvPr>
          <xdr:cNvSpPr>
            <a:spLocks noChangeArrowheads="1"/>
          </xdr:cNvSpPr>
        </xdr:nvSpPr>
        <xdr:spPr bwMode="auto">
          <a:xfrm>
            <a:off x="7085945" y="3182643"/>
            <a:ext cx="1587575" cy="1094118"/>
          </a:xfrm>
          <a:prstGeom prst="rect">
            <a:avLst/>
          </a:prstGeom>
          <a:solidFill>
            <a:srgbClr val="FFC0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4" name="Rectangle 32">
            <a:extLst>
              <a:ext uri="{FF2B5EF4-FFF2-40B4-BE49-F238E27FC236}">
                <a16:creationId xmlns:a16="http://schemas.microsoft.com/office/drawing/2014/main" xmlns="" id="{00000000-0008-0000-0100-00000E000000}"/>
              </a:ext>
            </a:extLst>
          </xdr:cNvPr>
          <xdr:cNvSpPr>
            <a:spLocks noChangeArrowheads="1"/>
          </xdr:cNvSpPr>
        </xdr:nvSpPr>
        <xdr:spPr bwMode="auto">
          <a:xfrm>
            <a:off x="2652243" y="4272584"/>
            <a:ext cx="2943216" cy="790660"/>
          </a:xfrm>
          <a:prstGeom prst="rect">
            <a:avLst/>
          </a:prstGeom>
          <a:solidFill>
            <a:srgbClr val="66FF33"/>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 name="Rectangle 33">
            <a:extLst>
              <a:ext uri="{FF2B5EF4-FFF2-40B4-BE49-F238E27FC236}">
                <a16:creationId xmlns:a16="http://schemas.microsoft.com/office/drawing/2014/main" xmlns="" id="{00000000-0008-0000-0100-00000F000000}"/>
              </a:ext>
            </a:extLst>
          </xdr:cNvPr>
          <xdr:cNvSpPr>
            <a:spLocks noChangeArrowheads="1"/>
          </xdr:cNvSpPr>
        </xdr:nvSpPr>
        <xdr:spPr bwMode="auto">
          <a:xfrm>
            <a:off x="5588267" y="4272584"/>
            <a:ext cx="1504870" cy="790660"/>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6" name="Rectangle 34">
            <a:extLst>
              <a:ext uri="{FF2B5EF4-FFF2-40B4-BE49-F238E27FC236}">
                <a16:creationId xmlns:a16="http://schemas.microsoft.com/office/drawing/2014/main" xmlns="" id="{00000000-0008-0000-0100-000010000000}"/>
              </a:ext>
            </a:extLst>
          </xdr:cNvPr>
          <xdr:cNvSpPr>
            <a:spLocks noChangeArrowheads="1"/>
          </xdr:cNvSpPr>
        </xdr:nvSpPr>
        <xdr:spPr bwMode="auto">
          <a:xfrm>
            <a:off x="7085945" y="4272584"/>
            <a:ext cx="1587575" cy="790660"/>
          </a:xfrm>
          <a:prstGeom prst="rect">
            <a:avLst/>
          </a:prstGeom>
          <a:solidFill>
            <a:srgbClr val="FFFF00"/>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7" name="Rectangle 35">
            <a:extLst>
              <a:ext uri="{FF2B5EF4-FFF2-40B4-BE49-F238E27FC236}">
                <a16:creationId xmlns:a16="http://schemas.microsoft.com/office/drawing/2014/main" xmlns="" id="{00000000-0008-0000-0100-000011000000}"/>
              </a:ext>
            </a:extLst>
          </xdr:cNvPr>
          <xdr:cNvSpPr>
            <a:spLocks noChangeArrowheads="1"/>
          </xdr:cNvSpPr>
        </xdr:nvSpPr>
        <xdr:spPr bwMode="auto">
          <a:xfrm>
            <a:off x="3293831"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1</a:t>
            </a:r>
            <a:endParaRPr lang="es-ES" sz="1600" u="none">
              <a:latin typeface="Arial" pitchFamily="34" charset="0"/>
            </a:endParaRPr>
          </a:p>
        </xdr:txBody>
      </xdr:sp>
      <xdr:sp macro="" textlink="">
        <xdr:nvSpPr>
          <xdr:cNvPr id="18" name="Rectangle 36">
            <a:extLst>
              <a:ext uri="{FF2B5EF4-FFF2-40B4-BE49-F238E27FC236}">
                <a16:creationId xmlns:a16="http://schemas.microsoft.com/office/drawing/2014/main" xmlns="" id="{00000000-0008-0000-0100-000012000000}"/>
              </a:ext>
            </a:extLst>
          </xdr:cNvPr>
          <xdr:cNvSpPr>
            <a:spLocks noChangeArrowheads="1"/>
          </xdr:cNvSpPr>
        </xdr:nvSpPr>
        <xdr:spPr bwMode="auto">
          <a:xfrm>
            <a:off x="4759163"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2</a:t>
            </a:r>
            <a:endParaRPr lang="es-ES" sz="1600" u="none">
              <a:latin typeface="Arial" pitchFamily="34" charset="0"/>
            </a:endParaRPr>
          </a:p>
        </xdr:txBody>
      </xdr:sp>
      <xdr:sp macro="" textlink="">
        <xdr:nvSpPr>
          <xdr:cNvPr id="19" name="Rectangle 37">
            <a:extLst>
              <a:ext uri="{FF2B5EF4-FFF2-40B4-BE49-F238E27FC236}">
                <a16:creationId xmlns:a16="http://schemas.microsoft.com/office/drawing/2014/main" xmlns="" id="{00000000-0008-0000-0100-000013000000}"/>
              </a:ext>
            </a:extLst>
          </xdr:cNvPr>
          <xdr:cNvSpPr>
            <a:spLocks noChangeArrowheads="1"/>
          </xdr:cNvSpPr>
        </xdr:nvSpPr>
        <xdr:spPr bwMode="auto">
          <a:xfrm>
            <a:off x="6294347" y="5062484"/>
            <a:ext cx="96843"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3</a:t>
            </a:r>
            <a:endParaRPr lang="es-ES" sz="1600" u="none">
              <a:latin typeface="Arial" pitchFamily="34" charset="0"/>
            </a:endParaRPr>
          </a:p>
        </xdr:txBody>
      </xdr:sp>
      <xdr:sp macro="" textlink="">
        <xdr:nvSpPr>
          <xdr:cNvPr id="20" name="Rectangle 38">
            <a:extLst>
              <a:ext uri="{FF2B5EF4-FFF2-40B4-BE49-F238E27FC236}">
                <a16:creationId xmlns:a16="http://schemas.microsoft.com/office/drawing/2014/main" xmlns="" id="{00000000-0008-0000-0100-000014000000}"/>
              </a:ext>
            </a:extLst>
          </xdr:cNvPr>
          <xdr:cNvSpPr>
            <a:spLocks noChangeArrowheads="1"/>
          </xdr:cNvSpPr>
        </xdr:nvSpPr>
        <xdr:spPr bwMode="auto">
          <a:xfrm>
            <a:off x="7837469" y="5062484"/>
            <a:ext cx="9525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00"/>
                </a:solidFill>
                <a:latin typeface="Verdana" pitchFamily="34" charset="0"/>
              </a:rPr>
              <a:t>4</a:t>
            </a:r>
            <a:endParaRPr lang="es-ES" sz="1600" u="none">
              <a:latin typeface="Arial" pitchFamily="34" charset="0"/>
            </a:endParaRPr>
          </a:p>
        </xdr:txBody>
      </xdr:sp>
      <xdr:sp macro="" textlink="">
        <xdr:nvSpPr>
          <xdr:cNvPr id="21" name="Rectangle 39">
            <a:extLst>
              <a:ext uri="{FF2B5EF4-FFF2-40B4-BE49-F238E27FC236}">
                <a16:creationId xmlns:a16="http://schemas.microsoft.com/office/drawing/2014/main" xmlns="" id="{00000000-0008-0000-0100-000015000000}"/>
              </a:ext>
            </a:extLst>
          </xdr:cNvPr>
          <xdr:cNvSpPr>
            <a:spLocks noChangeArrowheads="1"/>
          </xdr:cNvSpPr>
        </xdr:nvSpPr>
        <xdr:spPr bwMode="auto">
          <a:xfrm>
            <a:off x="2819147" y="5272052"/>
            <a:ext cx="1050974"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Insignificante</a:t>
            </a:r>
            <a:endParaRPr lang="es-ES" sz="1600" u="none">
              <a:solidFill>
                <a:srgbClr val="000080"/>
              </a:solidFill>
              <a:latin typeface="Arial" pitchFamily="34" charset="0"/>
            </a:endParaRPr>
          </a:p>
        </xdr:txBody>
      </xdr:sp>
      <xdr:sp macro="" textlink="">
        <xdr:nvSpPr>
          <xdr:cNvPr id="22" name="Rectangle 40">
            <a:extLst>
              <a:ext uri="{FF2B5EF4-FFF2-40B4-BE49-F238E27FC236}">
                <a16:creationId xmlns:a16="http://schemas.microsoft.com/office/drawing/2014/main" xmlns="" id="{00000000-0008-0000-0100-000016000000}"/>
              </a:ext>
            </a:extLst>
          </xdr:cNvPr>
          <xdr:cNvSpPr>
            <a:spLocks noChangeArrowheads="1"/>
          </xdr:cNvSpPr>
        </xdr:nvSpPr>
        <xdr:spPr bwMode="auto">
          <a:xfrm>
            <a:off x="4643269" y="5272052"/>
            <a:ext cx="355617"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Leve</a:t>
            </a:r>
            <a:endParaRPr lang="es-ES" sz="1600" u="none">
              <a:solidFill>
                <a:srgbClr val="000080"/>
              </a:solidFill>
              <a:latin typeface="Arial" pitchFamily="34" charset="0"/>
            </a:endParaRPr>
          </a:p>
        </xdr:txBody>
      </xdr:sp>
      <xdr:sp macro="" textlink="">
        <xdr:nvSpPr>
          <xdr:cNvPr id="23" name="Rectangle 41">
            <a:extLst>
              <a:ext uri="{FF2B5EF4-FFF2-40B4-BE49-F238E27FC236}">
                <a16:creationId xmlns:a16="http://schemas.microsoft.com/office/drawing/2014/main" xmlns="" id="{00000000-0008-0000-0100-000017000000}"/>
              </a:ext>
            </a:extLst>
          </xdr:cNvPr>
          <xdr:cNvSpPr>
            <a:spLocks noChangeArrowheads="1"/>
          </xdr:cNvSpPr>
        </xdr:nvSpPr>
        <xdr:spPr bwMode="auto">
          <a:xfrm>
            <a:off x="6140353" y="5272052"/>
            <a:ext cx="444521"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Grave</a:t>
            </a:r>
            <a:endParaRPr lang="es-ES" sz="1600" u="none">
              <a:solidFill>
                <a:srgbClr val="000080"/>
              </a:solidFill>
              <a:latin typeface="Arial" pitchFamily="34" charset="0"/>
            </a:endParaRPr>
          </a:p>
        </xdr:txBody>
      </xdr:sp>
      <xdr:sp macro="" textlink="">
        <xdr:nvSpPr>
          <xdr:cNvPr id="24" name="Rectangle 42">
            <a:extLst>
              <a:ext uri="{FF2B5EF4-FFF2-40B4-BE49-F238E27FC236}">
                <a16:creationId xmlns:a16="http://schemas.microsoft.com/office/drawing/2014/main" xmlns="" id="{00000000-0008-0000-0100-000018000000}"/>
              </a:ext>
            </a:extLst>
          </xdr:cNvPr>
          <xdr:cNvSpPr>
            <a:spLocks noChangeArrowheads="1"/>
          </xdr:cNvSpPr>
        </xdr:nvSpPr>
        <xdr:spPr bwMode="auto">
          <a:xfrm>
            <a:off x="7661249" y="5272052"/>
            <a:ext cx="490560"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Crítico</a:t>
            </a:r>
            <a:endParaRPr lang="es-ES" sz="1600" u="none">
              <a:solidFill>
                <a:srgbClr val="000080"/>
              </a:solidFill>
              <a:latin typeface="Arial" pitchFamily="34" charset="0"/>
            </a:endParaRPr>
          </a:p>
        </xdr:txBody>
      </xdr:sp>
      <xdr:sp macro="" textlink="">
        <xdr:nvSpPr>
          <xdr:cNvPr id="25" name="Rectangle 43">
            <a:extLst>
              <a:ext uri="{FF2B5EF4-FFF2-40B4-BE49-F238E27FC236}">
                <a16:creationId xmlns:a16="http://schemas.microsoft.com/office/drawing/2014/main" xmlns="" id="{00000000-0008-0000-0100-000019000000}"/>
              </a:ext>
            </a:extLst>
          </xdr:cNvPr>
          <xdr:cNvSpPr>
            <a:spLocks noChangeArrowheads="1"/>
          </xdr:cNvSpPr>
        </xdr:nvSpPr>
        <xdr:spPr bwMode="auto">
          <a:xfrm>
            <a:off x="2514106" y="4605273"/>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1</a:t>
            </a:r>
            <a:endParaRPr lang="es-ES" sz="1600" u="none"/>
          </a:p>
        </xdr:txBody>
      </xdr:sp>
      <xdr:sp macro="" textlink="">
        <xdr:nvSpPr>
          <xdr:cNvPr id="26" name="Rectangle 44">
            <a:extLst>
              <a:ext uri="{FF2B5EF4-FFF2-40B4-BE49-F238E27FC236}">
                <a16:creationId xmlns:a16="http://schemas.microsoft.com/office/drawing/2014/main" xmlns="" id="{00000000-0008-0000-0100-00001A000000}"/>
              </a:ext>
            </a:extLst>
          </xdr:cNvPr>
          <xdr:cNvSpPr>
            <a:spLocks noChangeArrowheads="1"/>
          </xdr:cNvSpPr>
        </xdr:nvSpPr>
        <xdr:spPr bwMode="auto">
          <a:xfrm>
            <a:off x="2993178" y="4471640"/>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27" name="Rectangle 45">
            <a:extLst>
              <a:ext uri="{FF2B5EF4-FFF2-40B4-BE49-F238E27FC236}">
                <a16:creationId xmlns:a16="http://schemas.microsoft.com/office/drawing/2014/main" xmlns="" id="{00000000-0008-0000-0100-00001B000000}"/>
              </a:ext>
            </a:extLst>
          </xdr:cNvPr>
          <xdr:cNvSpPr>
            <a:spLocks noChangeArrowheads="1"/>
          </xdr:cNvSpPr>
        </xdr:nvSpPr>
        <xdr:spPr bwMode="auto">
          <a:xfrm>
            <a:off x="2746964" y="4599705"/>
            <a:ext cx="116378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a:t>
            </a:r>
            <a:endParaRPr lang="es-ES" sz="1600" u="none"/>
          </a:p>
        </xdr:txBody>
      </xdr:sp>
      <xdr:sp macro="" textlink="">
        <xdr:nvSpPr>
          <xdr:cNvPr id="28" name="Rectangle 46">
            <a:extLst>
              <a:ext uri="{FF2B5EF4-FFF2-40B4-BE49-F238E27FC236}">
                <a16:creationId xmlns:a16="http://schemas.microsoft.com/office/drawing/2014/main" xmlns="" id="{00000000-0008-0000-0100-00001C000000}"/>
              </a:ext>
            </a:extLst>
          </xdr:cNvPr>
          <xdr:cNvSpPr>
            <a:spLocks noChangeArrowheads="1"/>
          </xdr:cNvSpPr>
        </xdr:nvSpPr>
        <xdr:spPr bwMode="auto">
          <a:xfrm>
            <a:off x="2975211" y="4729162"/>
            <a:ext cx="68127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monitoreo</a:t>
            </a:r>
            <a:endParaRPr lang="es-ES" sz="1600" u="none"/>
          </a:p>
        </xdr:txBody>
      </xdr:sp>
      <xdr:sp macro="" textlink="">
        <xdr:nvSpPr>
          <xdr:cNvPr id="29" name="Rectangle 47">
            <a:extLst>
              <a:ext uri="{FF2B5EF4-FFF2-40B4-BE49-F238E27FC236}">
                <a16:creationId xmlns:a16="http://schemas.microsoft.com/office/drawing/2014/main" xmlns="" id="{00000000-0008-0000-0100-00001D000000}"/>
              </a:ext>
            </a:extLst>
          </xdr:cNvPr>
          <xdr:cNvSpPr>
            <a:spLocks noChangeArrowheads="1"/>
          </xdr:cNvSpPr>
        </xdr:nvSpPr>
        <xdr:spPr bwMode="auto">
          <a:xfrm>
            <a:off x="4463888" y="4471640"/>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30" name="Rectangle 48">
            <a:extLst>
              <a:ext uri="{FF2B5EF4-FFF2-40B4-BE49-F238E27FC236}">
                <a16:creationId xmlns:a16="http://schemas.microsoft.com/office/drawing/2014/main" xmlns="" id="{00000000-0008-0000-0100-00001E000000}"/>
              </a:ext>
            </a:extLst>
          </xdr:cNvPr>
          <xdr:cNvSpPr>
            <a:spLocks noChangeArrowheads="1"/>
          </xdr:cNvSpPr>
        </xdr:nvSpPr>
        <xdr:spPr bwMode="auto">
          <a:xfrm>
            <a:off x="4169841" y="4599705"/>
            <a:ext cx="1248740"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 </a:t>
            </a:r>
            <a:endParaRPr lang="es-ES" sz="1600" u="none"/>
          </a:p>
        </xdr:txBody>
      </xdr:sp>
      <xdr:sp macro="" textlink="">
        <xdr:nvSpPr>
          <xdr:cNvPr id="31" name="Rectangle 49">
            <a:extLst>
              <a:ext uri="{FF2B5EF4-FFF2-40B4-BE49-F238E27FC236}">
                <a16:creationId xmlns:a16="http://schemas.microsoft.com/office/drawing/2014/main" xmlns="" id="{00000000-0008-0000-0100-00001F000000}"/>
              </a:ext>
            </a:extLst>
          </xdr:cNvPr>
          <xdr:cNvSpPr>
            <a:spLocks noChangeArrowheads="1"/>
          </xdr:cNvSpPr>
        </xdr:nvSpPr>
        <xdr:spPr bwMode="auto">
          <a:xfrm>
            <a:off x="4488358" y="472916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32" name="Rectangle 50">
            <a:extLst>
              <a:ext uri="{FF2B5EF4-FFF2-40B4-BE49-F238E27FC236}">
                <a16:creationId xmlns:a16="http://schemas.microsoft.com/office/drawing/2014/main" xmlns="" id="{00000000-0008-0000-0100-000020000000}"/>
              </a:ext>
            </a:extLst>
          </xdr:cNvPr>
          <xdr:cNvSpPr>
            <a:spLocks noChangeArrowheads="1"/>
          </xdr:cNvSpPr>
        </xdr:nvSpPr>
        <xdr:spPr bwMode="auto">
          <a:xfrm>
            <a:off x="5989148" y="4471640"/>
            <a:ext cx="668452"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33" name="Rectangle 51">
            <a:extLst>
              <a:ext uri="{FF2B5EF4-FFF2-40B4-BE49-F238E27FC236}">
                <a16:creationId xmlns:a16="http://schemas.microsoft.com/office/drawing/2014/main" xmlns="" id="{00000000-0008-0000-0100-000021000000}"/>
              </a:ext>
            </a:extLst>
          </xdr:cNvPr>
          <xdr:cNvSpPr>
            <a:spLocks noChangeArrowheads="1"/>
          </xdr:cNvSpPr>
        </xdr:nvSpPr>
        <xdr:spPr bwMode="auto">
          <a:xfrm>
            <a:off x="5714744" y="4599705"/>
            <a:ext cx="129202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control - </a:t>
            </a:r>
            <a:endParaRPr lang="es-ES" sz="1600" u="none"/>
          </a:p>
        </xdr:txBody>
      </xdr:sp>
      <xdr:sp macro="" textlink="">
        <xdr:nvSpPr>
          <xdr:cNvPr id="34" name="Rectangle 52">
            <a:extLst>
              <a:ext uri="{FF2B5EF4-FFF2-40B4-BE49-F238E27FC236}">
                <a16:creationId xmlns:a16="http://schemas.microsoft.com/office/drawing/2014/main" xmlns="" id="{00000000-0008-0000-0100-000022000000}"/>
              </a:ext>
            </a:extLst>
          </xdr:cNvPr>
          <xdr:cNvSpPr>
            <a:spLocks noChangeArrowheads="1"/>
          </xdr:cNvSpPr>
        </xdr:nvSpPr>
        <xdr:spPr bwMode="auto">
          <a:xfrm>
            <a:off x="6023792" y="472916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35" name="Rectangle 53">
            <a:extLst>
              <a:ext uri="{FF2B5EF4-FFF2-40B4-BE49-F238E27FC236}">
                <a16:creationId xmlns:a16="http://schemas.microsoft.com/office/drawing/2014/main" xmlns="" id="{00000000-0008-0000-0100-000023000000}"/>
              </a:ext>
            </a:extLst>
          </xdr:cNvPr>
          <xdr:cNvSpPr>
            <a:spLocks noChangeArrowheads="1"/>
          </xdr:cNvSpPr>
        </xdr:nvSpPr>
        <xdr:spPr bwMode="auto">
          <a:xfrm>
            <a:off x="7519325" y="4406217"/>
            <a:ext cx="70371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 </a:t>
            </a:r>
            <a:endParaRPr lang="es-ES" sz="1600" u="none"/>
          </a:p>
        </xdr:txBody>
      </xdr:sp>
      <xdr:sp macro="" textlink="">
        <xdr:nvSpPr>
          <xdr:cNvPr id="36" name="Rectangle 54">
            <a:extLst>
              <a:ext uri="{FF2B5EF4-FFF2-40B4-BE49-F238E27FC236}">
                <a16:creationId xmlns:a16="http://schemas.microsoft.com/office/drawing/2014/main" xmlns="" id="{00000000-0008-0000-0100-000024000000}"/>
              </a:ext>
            </a:extLst>
          </xdr:cNvPr>
          <xdr:cNvSpPr>
            <a:spLocks noChangeArrowheads="1"/>
          </xdr:cNvSpPr>
        </xdr:nvSpPr>
        <xdr:spPr bwMode="auto">
          <a:xfrm>
            <a:off x="7500707" y="453567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37" name="Rectangle 55">
            <a:extLst>
              <a:ext uri="{FF2B5EF4-FFF2-40B4-BE49-F238E27FC236}">
                <a16:creationId xmlns:a16="http://schemas.microsoft.com/office/drawing/2014/main" xmlns="" id="{00000000-0008-0000-0100-000025000000}"/>
              </a:ext>
            </a:extLst>
          </xdr:cNvPr>
          <xdr:cNvSpPr>
            <a:spLocks noChangeArrowheads="1"/>
          </xdr:cNvSpPr>
        </xdr:nvSpPr>
        <xdr:spPr bwMode="auto">
          <a:xfrm>
            <a:off x="7325662" y="4665130"/>
            <a:ext cx="109004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control -monitoreo</a:t>
            </a:r>
            <a:endParaRPr lang="es-ES" sz="1600" u="none"/>
          </a:p>
        </xdr:txBody>
      </xdr:sp>
      <xdr:sp macro="" textlink="">
        <xdr:nvSpPr>
          <xdr:cNvPr id="38" name="Rectangle 57">
            <a:extLst>
              <a:ext uri="{FF2B5EF4-FFF2-40B4-BE49-F238E27FC236}">
                <a16:creationId xmlns:a16="http://schemas.microsoft.com/office/drawing/2014/main" xmlns="" id="{00000000-0008-0000-0100-000026000000}"/>
              </a:ext>
            </a:extLst>
          </xdr:cNvPr>
          <xdr:cNvSpPr>
            <a:spLocks noChangeArrowheads="1"/>
          </xdr:cNvSpPr>
        </xdr:nvSpPr>
        <xdr:spPr bwMode="auto">
          <a:xfrm>
            <a:off x="1450658" y="1620479"/>
            <a:ext cx="841414"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Recurrente</a:t>
            </a:r>
            <a:endParaRPr lang="es-ES" sz="1600" u="none">
              <a:solidFill>
                <a:srgbClr val="000080"/>
              </a:solidFill>
              <a:latin typeface="Arial" pitchFamily="34" charset="0"/>
            </a:endParaRPr>
          </a:p>
        </xdr:txBody>
      </xdr:sp>
      <xdr:sp macro="" textlink="">
        <xdr:nvSpPr>
          <xdr:cNvPr id="39" name="Rectangle 58">
            <a:extLst>
              <a:ext uri="{FF2B5EF4-FFF2-40B4-BE49-F238E27FC236}">
                <a16:creationId xmlns:a16="http://schemas.microsoft.com/office/drawing/2014/main" xmlns="" id="{00000000-0008-0000-0100-000027000000}"/>
              </a:ext>
            </a:extLst>
          </xdr:cNvPr>
          <xdr:cNvSpPr>
            <a:spLocks noChangeArrowheads="1"/>
          </xdr:cNvSpPr>
        </xdr:nvSpPr>
        <xdr:spPr bwMode="auto">
          <a:xfrm>
            <a:off x="1577664" y="2620692"/>
            <a:ext cx="755685" cy="15876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Frecuente</a:t>
            </a:r>
            <a:endParaRPr lang="es-ES" sz="1600" u="none">
              <a:solidFill>
                <a:srgbClr val="000080"/>
              </a:solidFill>
              <a:latin typeface="Arial" pitchFamily="34" charset="0"/>
            </a:endParaRPr>
          </a:p>
        </xdr:txBody>
      </xdr:sp>
      <xdr:sp macro="" textlink="">
        <xdr:nvSpPr>
          <xdr:cNvPr id="40" name="Rectangle 59">
            <a:extLst>
              <a:ext uri="{FF2B5EF4-FFF2-40B4-BE49-F238E27FC236}">
                <a16:creationId xmlns:a16="http://schemas.microsoft.com/office/drawing/2014/main" xmlns="" id="{00000000-0008-0000-0100-000028000000}"/>
              </a:ext>
            </a:extLst>
          </xdr:cNvPr>
          <xdr:cNvSpPr>
            <a:spLocks noChangeArrowheads="1"/>
          </xdr:cNvSpPr>
        </xdr:nvSpPr>
        <xdr:spPr bwMode="auto">
          <a:xfrm>
            <a:off x="4453713" y="3536212"/>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41" name="Rectangle 60">
            <a:extLst>
              <a:ext uri="{FF2B5EF4-FFF2-40B4-BE49-F238E27FC236}">
                <a16:creationId xmlns:a16="http://schemas.microsoft.com/office/drawing/2014/main" xmlns="" id="{00000000-0008-0000-0100-000029000000}"/>
              </a:ext>
            </a:extLst>
          </xdr:cNvPr>
          <xdr:cNvSpPr>
            <a:spLocks noChangeArrowheads="1"/>
          </xdr:cNvSpPr>
        </xdr:nvSpPr>
        <xdr:spPr bwMode="auto">
          <a:xfrm>
            <a:off x="4146947" y="3665669"/>
            <a:ext cx="129202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control - </a:t>
            </a:r>
            <a:endParaRPr lang="es-ES" sz="1600" u="none"/>
          </a:p>
        </xdr:txBody>
      </xdr:sp>
      <xdr:sp macro="" textlink="">
        <xdr:nvSpPr>
          <xdr:cNvPr id="42" name="Rectangle 61">
            <a:extLst>
              <a:ext uri="{FF2B5EF4-FFF2-40B4-BE49-F238E27FC236}">
                <a16:creationId xmlns:a16="http://schemas.microsoft.com/office/drawing/2014/main" xmlns="" id="{00000000-0008-0000-0100-00002A000000}"/>
              </a:ext>
            </a:extLst>
          </xdr:cNvPr>
          <xdr:cNvSpPr>
            <a:spLocks noChangeArrowheads="1"/>
          </xdr:cNvSpPr>
        </xdr:nvSpPr>
        <xdr:spPr bwMode="auto">
          <a:xfrm>
            <a:off x="4488358" y="3793732"/>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43" name="Rectangle 62">
            <a:extLst>
              <a:ext uri="{FF2B5EF4-FFF2-40B4-BE49-F238E27FC236}">
                <a16:creationId xmlns:a16="http://schemas.microsoft.com/office/drawing/2014/main" xmlns="" id="{00000000-0008-0000-0100-00002B000000}"/>
              </a:ext>
            </a:extLst>
          </xdr:cNvPr>
          <xdr:cNvSpPr>
            <a:spLocks noChangeArrowheads="1"/>
          </xdr:cNvSpPr>
        </xdr:nvSpPr>
        <xdr:spPr bwMode="auto">
          <a:xfrm>
            <a:off x="5992728" y="3470788"/>
            <a:ext cx="67165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MODERADO</a:t>
            </a:r>
            <a:endParaRPr lang="es-ES" sz="1600" u="none"/>
          </a:p>
        </xdr:txBody>
      </xdr:sp>
      <xdr:sp macro="" textlink="">
        <xdr:nvSpPr>
          <xdr:cNvPr id="44" name="Rectangle 63">
            <a:extLst>
              <a:ext uri="{FF2B5EF4-FFF2-40B4-BE49-F238E27FC236}">
                <a16:creationId xmlns:a16="http://schemas.microsoft.com/office/drawing/2014/main" xmlns="" id="{00000000-0008-0000-0100-00002C000000}"/>
              </a:ext>
            </a:extLst>
          </xdr:cNvPr>
          <xdr:cNvSpPr>
            <a:spLocks noChangeArrowheads="1"/>
          </xdr:cNvSpPr>
        </xdr:nvSpPr>
        <xdr:spPr bwMode="auto">
          <a:xfrm>
            <a:off x="5958082" y="360024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45" name="Rectangle 64">
            <a:extLst>
              <a:ext uri="{FF2B5EF4-FFF2-40B4-BE49-F238E27FC236}">
                <a16:creationId xmlns:a16="http://schemas.microsoft.com/office/drawing/2014/main" xmlns="" id="{00000000-0008-0000-0100-00002D000000}"/>
              </a:ext>
            </a:extLst>
          </xdr:cNvPr>
          <xdr:cNvSpPr>
            <a:spLocks noChangeArrowheads="1"/>
          </xdr:cNvSpPr>
        </xdr:nvSpPr>
        <xdr:spPr bwMode="auto">
          <a:xfrm>
            <a:off x="5740555" y="3729701"/>
            <a:ext cx="117500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46" name="Rectangle 65">
            <a:extLst>
              <a:ext uri="{FF2B5EF4-FFF2-40B4-BE49-F238E27FC236}">
                <a16:creationId xmlns:a16="http://schemas.microsoft.com/office/drawing/2014/main" xmlns="" id="{00000000-0008-0000-0100-00002E000000}"/>
              </a:ext>
            </a:extLst>
          </xdr:cNvPr>
          <xdr:cNvSpPr>
            <a:spLocks noChangeArrowheads="1"/>
          </xdr:cNvSpPr>
        </xdr:nvSpPr>
        <xdr:spPr bwMode="auto">
          <a:xfrm>
            <a:off x="5725922" y="3859156"/>
            <a:ext cx="115576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planes contingencia</a:t>
            </a:r>
            <a:endParaRPr lang="es-ES" sz="1600" u="none"/>
          </a:p>
        </xdr:txBody>
      </xdr:sp>
      <xdr:sp macro="" textlink="">
        <xdr:nvSpPr>
          <xdr:cNvPr id="47" name="Rectangle 66">
            <a:extLst>
              <a:ext uri="{FF2B5EF4-FFF2-40B4-BE49-F238E27FC236}">
                <a16:creationId xmlns:a16="http://schemas.microsoft.com/office/drawing/2014/main" xmlns="" id="{00000000-0008-0000-0100-00002F000000}"/>
              </a:ext>
            </a:extLst>
          </xdr:cNvPr>
          <xdr:cNvSpPr>
            <a:spLocks noChangeArrowheads="1"/>
          </xdr:cNvSpPr>
        </xdr:nvSpPr>
        <xdr:spPr bwMode="auto">
          <a:xfrm>
            <a:off x="1672918" y="3654247"/>
            <a:ext cx="550888" cy="16035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Posible</a:t>
            </a:r>
            <a:endParaRPr lang="es-ES" sz="1600" u="none">
              <a:solidFill>
                <a:srgbClr val="000080"/>
              </a:solidFill>
              <a:latin typeface="Arial" pitchFamily="34" charset="0"/>
            </a:endParaRPr>
          </a:p>
        </xdr:txBody>
      </xdr:sp>
      <xdr:sp macro="" textlink="">
        <xdr:nvSpPr>
          <xdr:cNvPr id="48" name="Rectangle 67">
            <a:extLst>
              <a:ext uri="{FF2B5EF4-FFF2-40B4-BE49-F238E27FC236}">
                <a16:creationId xmlns:a16="http://schemas.microsoft.com/office/drawing/2014/main" xmlns="" id="{00000000-0008-0000-0100-000030000000}"/>
              </a:ext>
            </a:extLst>
          </xdr:cNvPr>
          <xdr:cNvSpPr>
            <a:spLocks noChangeArrowheads="1"/>
          </xdr:cNvSpPr>
        </xdr:nvSpPr>
        <xdr:spPr bwMode="auto">
          <a:xfrm>
            <a:off x="7472979" y="3470788"/>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49" name="Rectangle 68">
            <a:extLst>
              <a:ext uri="{FF2B5EF4-FFF2-40B4-BE49-F238E27FC236}">
                <a16:creationId xmlns:a16="http://schemas.microsoft.com/office/drawing/2014/main" xmlns="" id="{00000000-0008-0000-0100-000031000000}"/>
              </a:ext>
            </a:extLst>
          </xdr:cNvPr>
          <xdr:cNvSpPr>
            <a:spLocks noChangeArrowheads="1"/>
          </xdr:cNvSpPr>
        </xdr:nvSpPr>
        <xdr:spPr bwMode="auto">
          <a:xfrm>
            <a:off x="7500707" y="3600244"/>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50" name="Rectangle 69">
            <a:extLst>
              <a:ext uri="{FF2B5EF4-FFF2-40B4-BE49-F238E27FC236}">
                <a16:creationId xmlns:a16="http://schemas.microsoft.com/office/drawing/2014/main" xmlns="" id="{00000000-0008-0000-0100-000032000000}"/>
              </a:ext>
            </a:extLst>
          </xdr:cNvPr>
          <xdr:cNvSpPr>
            <a:spLocks noChangeArrowheads="1"/>
          </xdr:cNvSpPr>
        </xdr:nvSpPr>
        <xdr:spPr bwMode="auto">
          <a:xfrm>
            <a:off x="7233554" y="3729701"/>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 </a:t>
            </a:r>
            <a:endParaRPr lang="es-ES" sz="1600" u="none"/>
          </a:p>
        </xdr:txBody>
      </xdr:sp>
      <xdr:sp macro="" textlink="">
        <xdr:nvSpPr>
          <xdr:cNvPr id="51" name="Rectangle 70">
            <a:extLst>
              <a:ext uri="{FF2B5EF4-FFF2-40B4-BE49-F238E27FC236}">
                <a16:creationId xmlns:a16="http://schemas.microsoft.com/office/drawing/2014/main" xmlns="" id="{00000000-0008-0000-0100-000033000000}"/>
              </a:ext>
            </a:extLst>
          </xdr:cNvPr>
          <xdr:cNvSpPr>
            <a:spLocks noChangeArrowheads="1"/>
          </xdr:cNvSpPr>
        </xdr:nvSpPr>
        <xdr:spPr bwMode="auto">
          <a:xfrm>
            <a:off x="7468094" y="3859156"/>
            <a:ext cx="77264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transferencia</a:t>
            </a:r>
            <a:endParaRPr lang="es-ES" sz="1600" u="none"/>
          </a:p>
        </xdr:txBody>
      </xdr:sp>
      <xdr:sp macro="" textlink="">
        <xdr:nvSpPr>
          <xdr:cNvPr id="52" name="Rectangle 71">
            <a:extLst>
              <a:ext uri="{FF2B5EF4-FFF2-40B4-BE49-F238E27FC236}">
                <a16:creationId xmlns:a16="http://schemas.microsoft.com/office/drawing/2014/main" xmlns="" id="{00000000-0008-0000-0100-000034000000}"/>
              </a:ext>
            </a:extLst>
          </xdr:cNvPr>
          <xdr:cNvSpPr>
            <a:spLocks noChangeArrowheads="1"/>
          </xdr:cNvSpPr>
        </xdr:nvSpPr>
        <xdr:spPr bwMode="auto">
          <a:xfrm>
            <a:off x="7429520" y="1285860"/>
            <a:ext cx="81111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INTOLERABLE</a:t>
            </a:r>
            <a:endParaRPr lang="es-ES" sz="1600" u="none"/>
          </a:p>
        </xdr:txBody>
      </xdr:sp>
      <xdr:sp macro="" textlink="">
        <xdr:nvSpPr>
          <xdr:cNvPr id="53" name="Rectangle 74">
            <a:extLst>
              <a:ext uri="{FF2B5EF4-FFF2-40B4-BE49-F238E27FC236}">
                <a16:creationId xmlns:a16="http://schemas.microsoft.com/office/drawing/2014/main" xmlns="" id="{00000000-0008-0000-0100-000035000000}"/>
              </a:ext>
            </a:extLst>
          </xdr:cNvPr>
          <xdr:cNvSpPr>
            <a:spLocks noChangeArrowheads="1"/>
          </xdr:cNvSpPr>
        </xdr:nvSpPr>
        <xdr:spPr bwMode="auto">
          <a:xfrm>
            <a:off x="7260164" y="1428736"/>
            <a:ext cx="1170193"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o eliminar</a:t>
            </a:r>
            <a:endParaRPr lang="es-ES" sz="1600" u="none"/>
          </a:p>
        </xdr:txBody>
      </xdr:sp>
      <xdr:sp macro="" textlink="">
        <xdr:nvSpPr>
          <xdr:cNvPr id="54" name="Rectangle 75">
            <a:extLst>
              <a:ext uri="{FF2B5EF4-FFF2-40B4-BE49-F238E27FC236}">
                <a16:creationId xmlns:a16="http://schemas.microsoft.com/office/drawing/2014/main" xmlns="" id="{00000000-0008-0000-0100-000036000000}"/>
              </a:ext>
            </a:extLst>
          </xdr:cNvPr>
          <xdr:cNvSpPr>
            <a:spLocks noChangeArrowheads="1"/>
          </xdr:cNvSpPr>
        </xdr:nvSpPr>
        <xdr:spPr bwMode="auto">
          <a:xfrm>
            <a:off x="7253305" y="1558193"/>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55" name="Rectangle 76">
            <a:extLst>
              <a:ext uri="{FF2B5EF4-FFF2-40B4-BE49-F238E27FC236}">
                <a16:creationId xmlns:a16="http://schemas.microsoft.com/office/drawing/2014/main" xmlns="" id="{00000000-0008-0000-0100-000037000000}"/>
              </a:ext>
            </a:extLst>
          </xdr:cNvPr>
          <xdr:cNvSpPr>
            <a:spLocks noChangeArrowheads="1"/>
          </xdr:cNvSpPr>
        </xdr:nvSpPr>
        <xdr:spPr bwMode="auto">
          <a:xfrm>
            <a:off x="7488848" y="1687649"/>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sp macro="" textlink="">
        <xdr:nvSpPr>
          <xdr:cNvPr id="56" name="Rectangle 77">
            <a:extLst>
              <a:ext uri="{FF2B5EF4-FFF2-40B4-BE49-F238E27FC236}">
                <a16:creationId xmlns:a16="http://schemas.microsoft.com/office/drawing/2014/main" xmlns="" id="{00000000-0008-0000-0100-000038000000}"/>
              </a:ext>
            </a:extLst>
          </xdr:cNvPr>
          <xdr:cNvSpPr>
            <a:spLocks noChangeArrowheads="1"/>
          </xdr:cNvSpPr>
        </xdr:nvSpPr>
        <xdr:spPr bwMode="auto">
          <a:xfrm>
            <a:off x="7334343" y="1817106"/>
            <a:ext cx="101790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evaluacion costo-</a:t>
            </a:r>
            <a:endParaRPr lang="es-ES" sz="1600" u="none"/>
          </a:p>
        </xdr:txBody>
      </xdr:sp>
      <xdr:sp macro="" textlink="">
        <xdr:nvSpPr>
          <xdr:cNvPr id="57" name="Rectangle 78">
            <a:extLst>
              <a:ext uri="{FF2B5EF4-FFF2-40B4-BE49-F238E27FC236}">
                <a16:creationId xmlns:a16="http://schemas.microsoft.com/office/drawing/2014/main" xmlns="" id="{00000000-0008-0000-0100-000039000000}"/>
              </a:ext>
            </a:extLst>
          </xdr:cNvPr>
          <xdr:cNvSpPr>
            <a:spLocks noChangeArrowheads="1"/>
          </xdr:cNvSpPr>
        </xdr:nvSpPr>
        <xdr:spPr bwMode="auto">
          <a:xfrm>
            <a:off x="7279311" y="1946563"/>
            <a:ext cx="1133324"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beneficio proyectos</a:t>
            </a:r>
            <a:endParaRPr lang="es-ES" sz="1600" u="none"/>
          </a:p>
        </xdr:txBody>
      </xdr:sp>
      <xdr:sp macro="" textlink="">
        <xdr:nvSpPr>
          <xdr:cNvPr id="58" name="Rectangle 79">
            <a:extLst>
              <a:ext uri="{FF2B5EF4-FFF2-40B4-BE49-F238E27FC236}">
                <a16:creationId xmlns:a16="http://schemas.microsoft.com/office/drawing/2014/main" xmlns="" id="{00000000-0008-0000-0100-00003A000000}"/>
              </a:ext>
            </a:extLst>
          </xdr:cNvPr>
          <xdr:cNvSpPr>
            <a:spLocks noChangeArrowheads="1"/>
          </xdr:cNvSpPr>
        </xdr:nvSpPr>
        <xdr:spPr bwMode="auto">
          <a:xfrm>
            <a:off x="2514106" y="2635583"/>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3</a:t>
            </a:r>
            <a:endParaRPr lang="es-ES" sz="1600" u="none"/>
          </a:p>
        </xdr:txBody>
      </xdr:sp>
      <xdr:sp macro="" textlink="">
        <xdr:nvSpPr>
          <xdr:cNvPr id="59" name="Rectangle 80">
            <a:extLst>
              <a:ext uri="{FF2B5EF4-FFF2-40B4-BE49-F238E27FC236}">
                <a16:creationId xmlns:a16="http://schemas.microsoft.com/office/drawing/2014/main" xmlns="" id="{00000000-0008-0000-0100-00003B000000}"/>
              </a:ext>
            </a:extLst>
          </xdr:cNvPr>
          <xdr:cNvSpPr>
            <a:spLocks noChangeArrowheads="1"/>
          </xdr:cNvSpPr>
        </xdr:nvSpPr>
        <xdr:spPr bwMode="auto">
          <a:xfrm>
            <a:off x="2983004" y="2436526"/>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CO" sz="800" u="none">
                <a:solidFill>
                  <a:srgbClr val="000000"/>
                </a:solidFill>
                <a:latin typeface="Verdana" pitchFamily="34" charset="0"/>
              </a:rPr>
              <a:t>TOLERABLE</a:t>
            </a:r>
            <a:endParaRPr lang="es-ES" sz="1600" u="none"/>
          </a:p>
        </xdr:txBody>
      </xdr:sp>
      <xdr:sp macro="" textlink="">
        <xdr:nvSpPr>
          <xdr:cNvPr id="60" name="Rectangle 81">
            <a:extLst>
              <a:ext uri="{FF2B5EF4-FFF2-40B4-BE49-F238E27FC236}">
                <a16:creationId xmlns:a16="http://schemas.microsoft.com/office/drawing/2014/main" xmlns="" id="{00000000-0008-0000-0100-00003C000000}"/>
              </a:ext>
            </a:extLst>
          </xdr:cNvPr>
          <xdr:cNvSpPr>
            <a:spLocks noChangeArrowheads="1"/>
          </xdr:cNvSpPr>
        </xdr:nvSpPr>
        <xdr:spPr bwMode="auto">
          <a:xfrm>
            <a:off x="2957332" y="2565983"/>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61" name="Rectangle 82">
            <a:extLst>
              <a:ext uri="{FF2B5EF4-FFF2-40B4-BE49-F238E27FC236}">
                <a16:creationId xmlns:a16="http://schemas.microsoft.com/office/drawing/2014/main" xmlns="" id="{00000000-0008-0000-0100-00003D000000}"/>
              </a:ext>
            </a:extLst>
          </xdr:cNvPr>
          <xdr:cNvSpPr>
            <a:spLocks noChangeArrowheads="1"/>
          </xdr:cNvSpPr>
        </xdr:nvSpPr>
        <xdr:spPr bwMode="auto">
          <a:xfrm>
            <a:off x="3077737" y="2695440"/>
            <a:ext cx="52899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control - </a:t>
            </a:r>
            <a:endParaRPr lang="es-ES" sz="1600" u="none"/>
          </a:p>
        </xdr:txBody>
      </xdr:sp>
      <xdr:sp macro="" textlink="">
        <xdr:nvSpPr>
          <xdr:cNvPr id="62" name="Rectangle 83">
            <a:extLst>
              <a:ext uri="{FF2B5EF4-FFF2-40B4-BE49-F238E27FC236}">
                <a16:creationId xmlns:a16="http://schemas.microsoft.com/office/drawing/2014/main" xmlns="" id="{00000000-0008-0000-0100-00003E000000}"/>
              </a:ext>
            </a:extLst>
          </xdr:cNvPr>
          <xdr:cNvSpPr>
            <a:spLocks noChangeArrowheads="1"/>
          </xdr:cNvSpPr>
        </xdr:nvSpPr>
        <xdr:spPr bwMode="auto">
          <a:xfrm>
            <a:off x="3017649" y="2823504"/>
            <a:ext cx="59631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monitoreo</a:t>
            </a:r>
            <a:endParaRPr lang="es-ES" sz="1600" u="none"/>
          </a:p>
        </xdr:txBody>
      </xdr:sp>
      <xdr:sp macro="" textlink="">
        <xdr:nvSpPr>
          <xdr:cNvPr id="63" name="Rectangle 84">
            <a:extLst>
              <a:ext uri="{FF2B5EF4-FFF2-40B4-BE49-F238E27FC236}">
                <a16:creationId xmlns:a16="http://schemas.microsoft.com/office/drawing/2014/main" xmlns="" id="{00000000-0008-0000-0100-00003F000000}"/>
              </a:ext>
            </a:extLst>
          </xdr:cNvPr>
          <xdr:cNvSpPr>
            <a:spLocks noChangeArrowheads="1"/>
          </xdr:cNvSpPr>
        </xdr:nvSpPr>
        <xdr:spPr bwMode="auto">
          <a:xfrm>
            <a:off x="4457295" y="2431163"/>
            <a:ext cx="67165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MODERADO</a:t>
            </a:r>
            <a:endParaRPr lang="es-ES" sz="1600" u="none"/>
          </a:p>
        </xdr:txBody>
      </xdr:sp>
      <xdr:sp macro="" textlink="">
        <xdr:nvSpPr>
          <xdr:cNvPr id="64" name="Rectangle 85">
            <a:extLst>
              <a:ext uri="{FF2B5EF4-FFF2-40B4-BE49-F238E27FC236}">
                <a16:creationId xmlns:a16="http://schemas.microsoft.com/office/drawing/2014/main" xmlns="" id="{00000000-0008-0000-0100-000040000000}"/>
              </a:ext>
            </a:extLst>
          </xdr:cNvPr>
          <xdr:cNvSpPr>
            <a:spLocks noChangeArrowheads="1"/>
          </xdr:cNvSpPr>
        </xdr:nvSpPr>
        <xdr:spPr bwMode="auto">
          <a:xfrm>
            <a:off x="4411627" y="2574039"/>
            <a:ext cx="67807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a:t>
            </a:r>
            <a:endParaRPr lang="es-ES" sz="1600" u="none"/>
          </a:p>
        </xdr:txBody>
      </xdr:sp>
      <xdr:sp macro="" textlink="">
        <xdr:nvSpPr>
          <xdr:cNvPr id="65" name="Rectangle 86">
            <a:extLst>
              <a:ext uri="{FF2B5EF4-FFF2-40B4-BE49-F238E27FC236}">
                <a16:creationId xmlns:a16="http://schemas.microsoft.com/office/drawing/2014/main" xmlns="" id="{00000000-0008-0000-0100-000041000000}"/>
              </a:ext>
            </a:extLst>
          </xdr:cNvPr>
          <xdr:cNvSpPr>
            <a:spLocks noChangeArrowheads="1"/>
          </xdr:cNvSpPr>
        </xdr:nvSpPr>
        <xdr:spPr bwMode="auto">
          <a:xfrm>
            <a:off x="5937544" y="2429519"/>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66" name="Rectangle 87">
            <a:extLst>
              <a:ext uri="{FF2B5EF4-FFF2-40B4-BE49-F238E27FC236}">
                <a16:creationId xmlns:a16="http://schemas.microsoft.com/office/drawing/2014/main" xmlns="" id="{00000000-0008-0000-0100-000042000000}"/>
              </a:ext>
            </a:extLst>
          </xdr:cNvPr>
          <xdr:cNvSpPr>
            <a:spLocks noChangeArrowheads="1"/>
          </xdr:cNvSpPr>
        </xdr:nvSpPr>
        <xdr:spPr bwMode="auto">
          <a:xfrm>
            <a:off x="5965274" y="2549205"/>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67" name="Rectangle 88">
            <a:extLst>
              <a:ext uri="{FF2B5EF4-FFF2-40B4-BE49-F238E27FC236}">
                <a16:creationId xmlns:a16="http://schemas.microsoft.com/office/drawing/2014/main" xmlns="" id="{00000000-0008-0000-0100-000043000000}"/>
              </a:ext>
            </a:extLst>
          </xdr:cNvPr>
          <xdr:cNvSpPr>
            <a:spLocks noChangeArrowheads="1"/>
          </xdr:cNvSpPr>
        </xdr:nvSpPr>
        <xdr:spPr bwMode="auto">
          <a:xfrm>
            <a:off x="5732353" y="2678662"/>
            <a:ext cx="1224694"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68" name="Rectangle 89">
            <a:extLst>
              <a:ext uri="{FF2B5EF4-FFF2-40B4-BE49-F238E27FC236}">
                <a16:creationId xmlns:a16="http://schemas.microsoft.com/office/drawing/2014/main" xmlns="" id="{00000000-0008-0000-0100-000044000000}"/>
              </a:ext>
            </a:extLst>
          </xdr:cNvPr>
          <xdr:cNvSpPr>
            <a:spLocks noChangeArrowheads="1"/>
          </xdr:cNvSpPr>
        </xdr:nvSpPr>
        <xdr:spPr bwMode="auto">
          <a:xfrm>
            <a:off x="5959964" y="2808118"/>
            <a:ext cx="772647"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CO" sz="800" u="none">
                <a:solidFill>
                  <a:srgbClr val="000000"/>
                </a:solidFill>
                <a:latin typeface="Verdana" pitchFamily="34" charset="0"/>
              </a:rPr>
              <a:t>transferencia</a:t>
            </a:r>
            <a:endParaRPr lang="es-ES" sz="1600" u="none"/>
          </a:p>
        </xdr:txBody>
      </xdr:sp>
      <xdr:sp macro="" textlink="">
        <xdr:nvSpPr>
          <xdr:cNvPr id="69" name="Rectangle 90">
            <a:extLst>
              <a:ext uri="{FF2B5EF4-FFF2-40B4-BE49-F238E27FC236}">
                <a16:creationId xmlns:a16="http://schemas.microsoft.com/office/drawing/2014/main" xmlns="" id="{00000000-0008-0000-0100-000045000000}"/>
              </a:ext>
            </a:extLst>
          </xdr:cNvPr>
          <xdr:cNvSpPr>
            <a:spLocks noChangeArrowheads="1"/>
          </xdr:cNvSpPr>
        </xdr:nvSpPr>
        <xdr:spPr bwMode="auto">
          <a:xfrm>
            <a:off x="6331787" y="2823504"/>
            <a:ext cx="65" cy="24293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endParaRPr lang="es-ES" sz="1600" u="none"/>
          </a:p>
        </xdr:txBody>
      </xdr:sp>
      <xdr:sp macro="" textlink="">
        <xdr:nvSpPr>
          <xdr:cNvPr id="70" name="Rectangle 91">
            <a:extLst>
              <a:ext uri="{FF2B5EF4-FFF2-40B4-BE49-F238E27FC236}">
                <a16:creationId xmlns:a16="http://schemas.microsoft.com/office/drawing/2014/main" xmlns="" id="{00000000-0008-0000-0100-000046000000}"/>
              </a:ext>
            </a:extLst>
          </xdr:cNvPr>
          <xdr:cNvSpPr>
            <a:spLocks noChangeArrowheads="1"/>
          </xdr:cNvSpPr>
        </xdr:nvSpPr>
        <xdr:spPr bwMode="auto">
          <a:xfrm>
            <a:off x="6313066" y="2818646"/>
            <a:ext cx="65" cy="242934"/>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endParaRPr lang="es-ES" sz="1600" u="none"/>
          </a:p>
        </xdr:txBody>
      </xdr:sp>
      <xdr:sp macro="" textlink="">
        <xdr:nvSpPr>
          <xdr:cNvPr id="71" name="Rectangle 100">
            <a:extLst>
              <a:ext uri="{FF2B5EF4-FFF2-40B4-BE49-F238E27FC236}">
                <a16:creationId xmlns:a16="http://schemas.microsoft.com/office/drawing/2014/main" xmlns="" id="{00000000-0008-0000-0100-000047000000}"/>
              </a:ext>
            </a:extLst>
          </xdr:cNvPr>
          <xdr:cNvSpPr>
            <a:spLocks noChangeArrowheads="1"/>
          </xdr:cNvSpPr>
        </xdr:nvSpPr>
        <xdr:spPr bwMode="auto">
          <a:xfrm>
            <a:off x="1658629" y="4589367"/>
            <a:ext cx="584227" cy="16035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defRPr/>
            </a:pPr>
            <a:r>
              <a:rPr lang="es-ES" sz="1050" u="none">
                <a:solidFill>
                  <a:srgbClr val="000080"/>
                </a:solidFill>
                <a:latin typeface="Verdana" pitchFamily="34" charset="0"/>
              </a:rPr>
              <a:t>Remoto</a:t>
            </a:r>
            <a:endParaRPr lang="es-ES" sz="1600" u="none">
              <a:solidFill>
                <a:srgbClr val="000080"/>
              </a:solidFill>
              <a:latin typeface="Arial" pitchFamily="34" charset="0"/>
            </a:endParaRPr>
          </a:p>
        </xdr:txBody>
      </xdr:sp>
      <xdr:sp macro="" textlink="">
        <xdr:nvSpPr>
          <xdr:cNvPr id="72" name="Rectangle 102">
            <a:extLst>
              <a:ext uri="{FF2B5EF4-FFF2-40B4-BE49-F238E27FC236}">
                <a16:creationId xmlns:a16="http://schemas.microsoft.com/office/drawing/2014/main" xmlns="" id="{00000000-0008-0000-0100-000048000000}"/>
              </a:ext>
            </a:extLst>
          </xdr:cNvPr>
          <xdr:cNvSpPr>
            <a:spLocks noChangeArrowheads="1"/>
          </xdr:cNvSpPr>
        </xdr:nvSpPr>
        <xdr:spPr bwMode="auto">
          <a:xfrm>
            <a:off x="2514106" y="1634731"/>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4</a:t>
            </a:r>
            <a:endParaRPr lang="es-ES" sz="1600" u="none"/>
          </a:p>
        </xdr:txBody>
      </xdr:sp>
      <xdr:sp macro="" textlink="">
        <xdr:nvSpPr>
          <xdr:cNvPr id="73" name="Rectangle 103">
            <a:extLst>
              <a:ext uri="{FF2B5EF4-FFF2-40B4-BE49-F238E27FC236}">
                <a16:creationId xmlns:a16="http://schemas.microsoft.com/office/drawing/2014/main" xmlns="" id="{00000000-0008-0000-0100-000049000000}"/>
              </a:ext>
            </a:extLst>
          </xdr:cNvPr>
          <xdr:cNvSpPr>
            <a:spLocks noChangeArrowheads="1"/>
          </xdr:cNvSpPr>
        </xdr:nvSpPr>
        <xdr:spPr bwMode="auto">
          <a:xfrm>
            <a:off x="2986391" y="1428737"/>
            <a:ext cx="668453"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TOLERABLE</a:t>
            </a:r>
            <a:endParaRPr lang="es-ES" sz="1600" u="none"/>
          </a:p>
        </xdr:txBody>
      </xdr:sp>
      <xdr:sp macro="" textlink="">
        <xdr:nvSpPr>
          <xdr:cNvPr id="74" name="Rectangle 106">
            <a:extLst>
              <a:ext uri="{FF2B5EF4-FFF2-40B4-BE49-F238E27FC236}">
                <a16:creationId xmlns:a16="http://schemas.microsoft.com/office/drawing/2014/main" xmlns="" id="{00000000-0008-0000-0100-00004A000000}"/>
              </a:ext>
            </a:extLst>
          </xdr:cNvPr>
          <xdr:cNvSpPr>
            <a:spLocks noChangeArrowheads="1"/>
          </xdr:cNvSpPr>
        </xdr:nvSpPr>
        <xdr:spPr bwMode="auto">
          <a:xfrm>
            <a:off x="2514106" y="3669845"/>
            <a:ext cx="7373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2</a:t>
            </a:r>
            <a:endParaRPr lang="es-ES" sz="1600" u="none"/>
          </a:p>
        </xdr:txBody>
      </xdr:sp>
      <xdr:sp macro="" textlink="">
        <xdr:nvSpPr>
          <xdr:cNvPr id="75" name="Rectangle 107">
            <a:extLst>
              <a:ext uri="{FF2B5EF4-FFF2-40B4-BE49-F238E27FC236}">
                <a16:creationId xmlns:a16="http://schemas.microsoft.com/office/drawing/2014/main" xmlns="" id="{00000000-0008-0000-0100-00004B000000}"/>
              </a:ext>
            </a:extLst>
          </xdr:cNvPr>
          <xdr:cNvSpPr>
            <a:spLocks noChangeArrowheads="1"/>
          </xdr:cNvSpPr>
        </xdr:nvSpPr>
        <xdr:spPr bwMode="auto">
          <a:xfrm>
            <a:off x="2993178" y="3536212"/>
            <a:ext cx="665247"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ACEPTABLE</a:t>
            </a:r>
            <a:endParaRPr lang="es-ES" sz="1600" u="none"/>
          </a:p>
        </xdr:txBody>
      </xdr:sp>
      <xdr:sp macro="" textlink="">
        <xdr:nvSpPr>
          <xdr:cNvPr id="76" name="Rectangle 108">
            <a:extLst>
              <a:ext uri="{FF2B5EF4-FFF2-40B4-BE49-F238E27FC236}">
                <a16:creationId xmlns:a16="http://schemas.microsoft.com/office/drawing/2014/main" xmlns="" id="{00000000-0008-0000-0100-00004C000000}"/>
              </a:ext>
            </a:extLst>
          </xdr:cNvPr>
          <xdr:cNvSpPr>
            <a:spLocks noChangeArrowheads="1"/>
          </xdr:cNvSpPr>
        </xdr:nvSpPr>
        <xdr:spPr bwMode="auto">
          <a:xfrm>
            <a:off x="2746964" y="3665669"/>
            <a:ext cx="116378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continuar controles </a:t>
            </a:r>
            <a:endParaRPr lang="es-ES" sz="1600" u="none"/>
          </a:p>
        </xdr:txBody>
      </xdr:sp>
      <xdr:sp macro="" textlink="">
        <xdr:nvSpPr>
          <xdr:cNvPr id="77" name="Rectangle 109">
            <a:extLst>
              <a:ext uri="{FF2B5EF4-FFF2-40B4-BE49-F238E27FC236}">
                <a16:creationId xmlns:a16="http://schemas.microsoft.com/office/drawing/2014/main" xmlns="" id="{00000000-0008-0000-0100-00004D000000}"/>
              </a:ext>
            </a:extLst>
          </xdr:cNvPr>
          <xdr:cNvSpPr>
            <a:spLocks noChangeArrowheads="1"/>
          </xdr:cNvSpPr>
        </xdr:nvSpPr>
        <xdr:spPr bwMode="auto">
          <a:xfrm>
            <a:off x="2975211" y="3793732"/>
            <a:ext cx="68127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monitoreo</a:t>
            </a:r>
            <a:endParaRPr lang="es-ES" sz="1600" u="none"/>
          </a:p>
        </xdr:txBody>
      </xdr:sp>
      <xdr:sp macro="" textlink="">
        <xdr:nvSpPr>
          <xdr:cNvPr id="78" name="Rectangle 111">
            <a:extLst>
              <a:ext uri="{FF2B5EF4-FFF2-40B4-BE49-F238E27FC236}">
                <a16:creationId xmlns:a16="http://schemas.microsoft.com/office/drawing/2014/main" xmlns="" id="{00000000-0008-0000-0100-00004E000000}"/>
              </a:ext>
            </a:extLst>
          </xdr:cNvPr>
          <xdr:cNvSpPr>
            <a:spLocks noChangeArrowheads="1"/>
          </xdr:cNvSpPr>
        </xdr:nvSpPr>
        <xdr:spPr bwMode="auto">
          <a:xfrm>
            <a:off x="4400312" y="1435673"/>
            <a:ext cx="77425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IMPORTANTE</a:t>
            </a:r>
            <a:endParaRPr lang="es-ES" sz="1600" u="none"/>
          </a:p>
        </xdr:txBody>
      </xdr:sp>
      <xdr:sp macro="" textlink="">
        <xdr:nvSpPr>
          <xdr:cNvPr id="79" name="Rectangle 112">
            <a:extLst>
              <a:ext uri="{FF2B5EF4-FFF2-40B4-BE49-F238E27FC236}">
                <a16:creationId xmlns:a16="http://schemas.microsoft.com/office/drawing/2014/main" xmlns="" id="{00000000-0008-0000-0100-00004F000000}"/>
              </a:ext>
            </a:extLst>
          </xdr:cNvPr>
          <xdr:cNvSpPr>
            <a:spLocks noChangeArrowheads="1"/>
          </xdr:cNvSpPr>
        </xdr:nvSpPr>
        <xdr:spPr bwMode="auto">
          <a:xfrm>
            <a:off x="4428041" y="1565130"/>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80" name="Rectangle 113">
            <a:extLst>
              <a:ext uri="{FF2B5EF4-FFF2-40B4-BE49-F238E27FC236}">
                <a16:creationId xmlns:a16="http://schemas.microsoft.com/office/drawing/2014/main" xmlns="" id="{00000000-0008-0000-0100-000050000000}"/>
              </a:ext>
            </a:extLst>
          </xdr:cNvPr>
          <xdr:cNvSpPr>
            <a:spLocks noChangeArrowheads="1"/>
          </xdr:cNvSpPr>
        </xdr:nvSpPr>
        <xdr:spPr bwMode="auto">
          <a:xfrm>
            <a:off x="4162684" y="1694586"/>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 </a:t>
            </a:r>
            <a:endParaRPr lang="es-ES" sz="1600" u="none"/>
          </a:p>
        </xdr:txBody>
      </xdr:sp>
      <xdr:sp macro="" textlink="">
        <xdr:nvSpPr>
          <xdr:cNvPr id="81" name="Rectangle 114">
            <a:extLst>
              <a:ext uri="{FF2B5EF4-FFF2-40B4-BE49-F238E27FC236}">
                <a16:creationId xmlns:a16="http://schemas.microsoft.com/office/drawing/2014/main" xmlns="" id="{00000000-0008-0000-0100-000051000000}"/>
              </a:ext>
            </a:extLst>
          </xdr:cNvPr>
          <xdr:cNvSpPr>
            <a:spLocks noChangeArrowheads="1"/>
          </xdr:cNvSpPr>
        </xdr:nvSpPr>
        <xdr:spPr bwMode="auto">
          <a:xfrm>
            <a:off x="4397225" y="1824044"/>
            <a:ext cx="77264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transferencia</a:t>
            </a:r>
            <a:endParaRPr lang="es-ES" sz="1600" u="none"/>
          </a:p>
        </xdr:txBody>
      </xdr:sp>
      <xdr:sp macro="" textlink="">
        <xdr:nvSpPr>
          <xdr:cNvPr id="82" name="Rectangle 115">
            <a:extLst>
              <a:ext uri="{FF2B5EF4-FFF2-40B4-BE49-F238E27FC236}">
                <a16:creationId xmlns:a16="http://schemas.microsoft.com/office/drawing/2014/main" xmlns="" id="{00000000-0008-0000-0100-000052000000}"/>
              </a:ext>
            </a:extLst>
          </xdr:cNvPr>
          <xdr:cNvSpPr>
            <a:spLocks noChangeArrowheads="1"/>
          </xdr:cNvSpPr>
        </xdr:nvSpPr>
        <xdr:spPr bwMode="auto">
          <a:xfrm>
            <a:off x="5866307" y="1285860"/>
            <a:ext cx="923330"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SIGNIFICATIVO</a:t>
            </a:r>
            <a:endParaRPr lang="es-ES" sz="1600" u="none"/>
          </a:p>
        </xdr:txBody>
      </xdr:sp>
      <xdr:sp macro="" textlink="">
        <xdr:nvSpPr>
          <xdr:cNvPr id="83" name="Rectangle 123">
            <a:extLst>
              <a:ext uri="{FF2B5EF4-FFF2-40B4-BE49-F238E27FC236}">
                <a16:creationId xmlns:a16="http://schemas.microsoft.com/office/drawing/2014/main" xmlns="" id="{00000000-0008-0000-0100-000053000000}"/>
              </a:ext>
            </a:extLst>
          </xdr:cNvPr>
          <xdr:cNvSpPr>
            <a:spLocks noChangeArrowheads="1"/>
          </xdr:cNvSpPr>
        </xdr:nvSpPr>
        <xdr:spPr bwMode="auto">
          <a:xfrm>
            <a:off x="987358"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4" name="Rectangle 124">
            <a:extLst>
              <a:ext uri="{FF2B5EF4-FFF2-40B4-BE49-F238E27FC236}">
                <a16:creationId xmlns:a16="http://schemas.microsoft.com/office/drawing/2014/main" xmlns="" id="{00000000-0008-0000-0100-000054000000}"/>
              </a:ext>
            </a:extLst>
          </xdr:cNvPr>
          <xdr:cNvSpPr>
            <a:spLocks noChangeArrowheads="1"/>
          </xdr:cNvSpPr>
        </xdr:nvSpPr>
        <xdr:spPr bwMode="auto">
          <a:xfrm>
            <a:off x="1386499"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5" name="Rectangle 125">
            <a:extLst>
              <a:ext uri="{FF2B5EF4-FFF2-40B4-BE49-F238E27FC236}">
                <a16:creationId xmlns:a16="http://schemas.microsoft.com/office/drawing/2014/main" xmlns="" id="{00000000-0008-0000-0100-000055000000}"/>
              </a:ext>
            </a:extLst>
          </xdr:cNvPr>
          <xdr:cNvSpPr>
            <a:spLocks noChangeArrowheads="1"/>
          </xdr:cNvSpPr>
        </xdr:nvSpPr>
        <xdr:spPr bwMode="auto">
          <a:xfrm>
            <a:off x="2445482"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6" name="Rectangle 126">
            <a:extLst>
              <a:ext uri="{FF2B5EF4-FFF2-40B4-BE49-F238E27FC236}">
                <a16:creationId xmlns:a16="http://schemas.microsoft.com/office/drawing/2014/main" xmlns="" id="{00000000-0008-0000-0100-000056000000}"/>
              </a:ext>
            </a:extLst>
          </xdr:cNvPr>
          <xdr:cNvSpPr>
            <a:spLocks noChangeArrowheads="1"/>
          </xdr:cNvSpPr>
        </xdr:nvSpPr>
        <xdr:spPr bwMode="auto">
          <a:xfrm>
            <a:off x="2652243"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7" name="Rectangle 127">
            <a:extLst>
              <a:ext uri="{FF2B5EF4-FFF2-40B4-BE49-F238E27FC236}">
                <a16:creationId xmlns:a16="http://schemas.microsoft.com/office/drawing/2014/main" xmlns="" id="{00000000-0008-0000-0100-000057000000}"/>
              </a:ext>
            </a:extLst>
          </xdr:cNvPr>
          <xdr:cNvSpPr>
            <a:spLocks noChangeArrowheads="1"/>
          </xdr:cNvSpPr>
        </xdr:nvSpPr>
        <xdr:spPr bwMode="auto">
          <a:xfrm>
            <a:off x="4015076"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8" name="Rectangle 128">
            <a:extLst>
              <a:ext uri="{FF2B5EF4-FFF2-40B4-BE49-F238E27FC236}">
                <a16:creationId xmlns:a16="http://schemas.microsoft.com/office/drawing/2014/main" xmlns="" id="{00000000-0008-0000-0100-000058000000}"/>
              </a:ext>
            </a:extLst>
          </xdr:cNvPr>
          <xdr:cNvSpPr>
            <a:spLocks noChangeArrowheads="1"/>
          </xdr:cNvSpPr>
        </xdr:nvSpPr>
        <xdr:spPr bwMode="auto">
          <a:xfrm>
            <a:off x="5588267"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89" name="Rectangle 129">
            <a:extLst>
              <a:ext uri="{FF2B5EF4-FFF2-40B4-BE49-F238E27FC236}">
                <a16:creationId xmlns:a16="http://schemas.microsoft.com/office/drawing/2014/main" xmlns="" id="{00000000-0008-0000-0100-000059000000}"/>
              </a:ext>
            </a:extLst>
          </xdr:cNvPr>
          <xdr:cNvSpPr>
            <a:spLocks noChangeArrowheads="1"/>
          </xdr:cNvSpPr>
        </xdr:nvSpPr>
        <xdr:spPr bwMode="auto">
          <a:xfrm>
            <a:off x="7085945"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0" name="Rectangle 132">
            <a:extLst>
              <a:ext uri="{FF2B5EF4-FFF2-40B4-BE49-F238E27FC236}">
                <a16:creationId xmlns:a16="http://schemas.microsoft.com/office/drawing/2014/main" xmlns="" id="{00000000-0008-0000-0100-00005A000000}"/>
              </a:ext>
            </a:extLst>
          </xdr:cNvPr>
          <xdr:cNvSpPr>
            <a:spLocks noChangeArrowheads="1"/>
          </xdr:cNvSpPr>
        </xdr:nvSpPr>
        <xdr:spPr bwMode="auto">
          <a:xfrm>
            <a:off x="8666328" y="118232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1" name="Rectangle 149">
            <a:extLst>
              <a:ext uri="{FF2B5EF4-FFF2-40B4-BE49-F238E27FC236}">
                <a16:creationId xmlns:a16="http://schemas.microsoft.com/office/drawing/2014/main" xmlns="" id="{00000000-0008-0000-0100-00005B000000}"/>
              </a:ext>
            </a:extLst>
          </xdr:cNvPr>
          <xdr:cNvSpPr>
            <a:spLocks noChangeArrowheads="1"/>
          </xdr:cNvSpPr>
        </xdr:nvSpPr>
        <xdr:spPr bwMode="auto">
          <a:xfrm>
            <a:off x="1778448" y="1182328"/>
            <a:ext cx="5394"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2" name="Line 164">
            <a:extLst>
              <a:ext uri="{FF2B5EF4-FFF2-40B4-BE49-F238E27FC236}">
                <a16:creationId xmlns:a16="http://schemas.microsoft.com/office/drawing/2014/main" xmlns="" id="{00000000-0008-0000-0100-00005C000000}"/>
              </a:ext>
            </a:extLst>
          </xdr:cNvPr>
          <xdr:cNvSpPr>
            <a:spLocks noChangeShapeType="1"/>
          </xdr:cNvSpPr>
        </xdr:nvSpPr>
        <xdr:spPr bwMode="auto">
          <a:xfrm>
            <a:off x="98735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3" name="Rectangle 165">
            <a:extLst>
              <a:ext uri="{FF2B5EF4-FFF2-40B4-BE49-F238E27FC236}">
                <a16:creationId xmlns:a16="http://schemas.microsoft.com/office/drawing/2014/main" xmlns="" id="{00000000-0008-0000-0100-00005D000000}"/>
              </a:ext>
            </a:extLst>
          </xdr:cNvPr>
          <xdr:cNvSpPr>
            <a:spLocks noChangeArrowheads="1"/>
          </xdr:cNvSpPr>
        </xdr:nvSpPr>
        <xdr:spPr bwMode="auto">
          <a:xfrm>
            <a:off x="987358"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4" name="Line 166">
            <a:extLst>
              <a:ext uri="{FF2B5EF4-FFF2-40B4-BE49-F238E27FC236}">
                <a16:creationId xmlns:a16="http://schemas.microsoft.com/office/drawing/2014/main" xmlns="" id="{00000000-0008-0000-0100-00005E000000}"/>
              </a:ext>
            </a:extLst>
          </xdr:cNvPr>
          <xdr:cNvSpPr>
            <a:spLocks noChangeShapeType="1"/>
          </xdr:cNvSpPr>
        </xdr:nvSpPr>
        <xdr:spPr bwMode="auto">
          <a:xfrm>
            <a:off x="1386499"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5" name="Rectangle 167">
            <a:extLst>
              <a:ext uri="{FF2B5EF4-FFF2-40B4-BE49-F238E27FC236}">
                <a16:creationId xmlns:a16="http://schemas.microsoft.com/office/drawing/2014/main" xmlns="" id="{00000000-0008-0000-0100-00005F000000}"/>
              </a:ext>
            </a:extLst>
          </xdr:cNvPr>
          <xdr:cNvSpPr>
            <a:spLocks noChangeArrowheads="1"/>
          </xdr:cNvSpPr>
        </xdr:nvSpPr>
        <xdr:spPr bwMode="auto">
          <a:xfrm>
            <a:off x="1386499"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6" name="Line 168">
            <a:extLst>
              <a:ext uri="{FF2B5EF4-FFF2-40B4-BE49-F238E27FC236}">
                <a16:creationId xmlns:a16="http://schemas.microsoft.com/office/drawing/2014/main" xmlns="" id="{00000000-0008-0000-0100-000060000000}"/>
              </a:ext>
            </a:extLst>
          </xdr:cNvPr>
          <xdr:cNvSpPr>
            <a:spLocks noChangeShapeType="1"/>
          </xdr:cNvSpPr>
        </xdr:nvSpPr>
        <xdr:spPr bwMode="auto">
          <a:xfrm>
            <a:off x="177844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7" name="Rectangle 169">
            <a:extLst>
              <a:ext uri="{FF2B5EF4-FFF2-40B4-BE49-F238E27FC236}">
                <a16:creationId xmlns:a16="http://schemas.microsoft.com/office/drawing/2014/main" xmlns="" id="{00000000-0008-0000-0100-000061000000}"/>
              </a:ext>
            </a:extLst>
          </xdr:cNvPr>
          <xdr:cNvSpPr>
            <a:spLocks noChangeArrowheads="1"/>
          </xdr:cNvSpPr>
        </xdr:nvSpPr>
        <xdr:spPr bwMode="auto">
          <a:xfrm>
            <a:off x="1778448"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98" name="Line 170">
            <a:extLst>
              <a:ext uri="{FF2B5EF4-FFF2-40B4-BE49-F238E27FC236}">
                <a16:creationId xmlns:a16="http://schemas.microsoft.com/office/drawing/2014/main" xmlns="" id="{00000000-0008-0000-0100-000062000000}"/>
              </a:ext>
            </a:extLst>
          </xdr:cNvPr>
          <xdr:cNvSpPr>
            <a:spLocks noChangeShapeType="1"/>
          </xdr:cNvSpPr>
        </xdr:nvSpPr>
        <xdr:spPr bwMode="auto">
          <a:xfrm>
            <a:off x="2445482"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99" name="Rectangle 171">
            <a:extLst>
              <a:ext uri="{FF2B5EF4-FFF2-40B4-BE49-F238E27FC236}">
                <a16:creationId xmlns:a16="http://schemas.microsoft.com/office/drawing/2014/main" xmlns="" id="{00000000-0008-0000-0100-000063000000}"/>
              </a:ext>
            </a:extLst>
          </xdr:cNvPr>
          <xdr:cNvSpPr>
            <a:spLocks noChangeArrowheads="1"/>
          </xdr:cNvSpPr>
        </xdr:nvSpPr>
        <xdr:spPr bwMode="auto">
          <a:xfrm>
            <a:off x="2445482"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0" name="Line 172">
            <a:extLst>
              <a:ext uri="{FF2B5EF4-FFF2-40B4-BE49-F238E27FC236}">
                <a16:creationId xmlns:a16="http://schemas.microsoft.com/office/drawing/2014/main" xmlns="" id="{00000000-0008-0000-0100-000064000000}"/>
              </a:ext>
            </a:extLst>
          </xdr:cNvPr>
          <xdr:cNvSpPr>
            <a:spLocks noChangeShapeType="1"/>
          </xdr:cNvSpPr>
        </xdr:nvSpPr>
        <xdr:spPr bwMode="auto">
          <a:xfrm>
            <a:off x="2652243"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1" name="Rectangle 173">
            <a:extLst>
              <a:ext uri="{FF2B5EF4-FFF2-40B4-BE49-F238E27FC236}">
                <a16:creationId xmlns:a16="http://schemas.microsoft.com/office/drawing/2014/main" xmlns="" id="{00000000-0008-0000-0100-000065000000}"/>
              </a:ext>
            </a:extLst>
          </xdr:cNvPr>
          <xdr:cNvSpPr>
            <a:spLocks noChangeArrowheads="1"/>
          </xdr:cNvSpPr>
        </xdr:nvSpPr>
        <xdr:spPr bwMode="auto">
          <a:xfrm>
            <a:off x="2652243"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2" name="Line 174">
            <a:extLst>
              <a:ext uri="{FF2B5EF4-FFF2-40B4-BE49-F238E27FC236}">
                <a16:creationId xmlns:a16="http://schemas.microsoft.com/office/drawing/2014/main" xmlns="" id="{00000000-0008-0000-0100-000066000000}"/>
              </a:ext>
            </a:extLst>
          </xdr:cNvPr>
          <xdr:cNvSpPr>
            <a:spLocks noChangeShapeType="1"/>
          </xdr:cNvSpPr>
        </xdr:nvSpPr>
        <xdr:spPr bwMode="auto">
          <a:xfrm>
            <a:off x="4015076"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3" name="Rectangle 175">
            <a:extLst>
              <a:ext uri="{FF2B5EF4-FFF2-40B4-BE49-F238E27FC236}">
                <a16:creationId xmlns:a16="http://schemas.microsoft.com/office/drawing/2014/main" xmlns="" id="{00000000-0008-0000-0100-000067000000}"/>
              </a:ext>
            </a:extLst>
          </xdr:cNvPr>
          <xdr:cNvSpPr>
            <a:spLocks noChangeArrowheads="1"/>
          </xdr:cNvSpPr>
        </xdr:nvSpPr>
        <xdr:spPr bwMode="auto">
          <a:xfrm>
            <a:off x="4015076" y="5540702"/>
            <a:ext cx="5394"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4" name="Line 176">
            <a:extLst>
              <a:ext uri="{FF2B5EF4-FFF2-40B4-BE49-F238E27FC236}">
                <a16:creationId xmlns:a16="http://schemas.microsoft.com/office/drawing/2014/main" xmlns="" id="{00000000-0008-0000-0100-000068000000}"/>
              </a:ext>
            </a:extLst>
          </xdr:cNvPr>
          <xdr:cNvSpPr>
            <a:spLocks noChangeShapeType="1"/>
          </xdr:cNvSpPr>
        </xdr:nvSpPr>
        <xdr:spPr bwMode="auto">
          <a:xfrm>
            <a:off x="5588267"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5" name="Rectangle 177">
            <a:extLst>
              <a:ext uri="{FF2B5EF4-FFF2-40B4-BE49-F238E27FC236}">
                <a16:creationId xmlns:a16="http://schemas.microsoft.com/office/drawing/2014/main" xmlns="" id="{00000000-0008-0000-0100-000069000000}"/>
              </a:ext>
            </a:extLst>
          </xdr:cNvPr>
          <xdr:cNvSpPr>
            <a:spLocks noChangeArrowheads="1"/>
          </xdr:cNvSpPr>
        </xdr:nvSpPr>
        <xdr:spPr bwMode="auto">
          <a:xfrm>
            <a:off x="5588267"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6" name="Line 178">
            <a:extLst>
              <a:ext uri="{FF2B5EF4-FFF2-40B4-BE49-F238E27FC236}">
                <a16:creationId xmlns:a16="http://schemas.microsoft.com/office/drawing/2014/main" xmlns="" id="{00000000-0008-0000-0100-00006A000000}"/>
              </a:ext>
            </a:extLst>
          </xdr:cNvPr>
          <xdr:cNvSpPr>
            <a:spLocks noChangeShapeType="1"/>
          </xdr:cNvSpPr>
        </xdr:nvSpPr>
        <xdr:spPr bwMode="auto">
          <a:xfrm>
            <a:off x="7085945"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7" name="Rectangle 179">
            <a:extLst>
              <a:ext uri="{FF2B5EF4-FFF2-40B4-BE49-F238E27FC236}">
                <a16:creationId xmlns:a16="http://schemas.microsoft.com/office/drawing/2014/main" xmlns="" id="{00000000-0008-0000-0100-00006B000000}"/>
              </a:ext>
            </a:extLst>
          </xdr:cNvPr>
          <xdr:cNvSpPr>
            <a:spLocks noChangeArrowheads="1"/>
          </xdr:cNvSpPr>
        </xdr:nvSpPr>
        <xdr:spPr bwMode="auto">
          <a:xfrm>
            <a:off x="7085945"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08" name="Line 180">
            <a:extLst>
              <a:ext uri="{FF2B5EF4-FFF2-40B4-BE49-F238E27FC236}">
                <a16:creationId xmlns:a16="http://schemas.microsoft.com/office/drawing/2014/main" xmlns="" id="{00000000-0008-0000-0100-00006C000000}"/>
              </a:ext>
            </a:extLst>
          </xdr:cNvPr>
          <xdr:cNvSpPr>
            <a:spLocks noChangeShapeType="1"/>
          </xdr:cNvSpPr>
        </xdr:nvSpPr>
        <xdr:spPr bwMode="auto">
          <a:xfrm>
            <a:off x="8666328" y="554070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09" name="Rectangle 181">
            <a:extLst>
              <a:ext uri="{FF2B5EF4-FFF2-40B4-BE49-F238E27FC236}">
                <a16:creationId xmlns:a16="http://schemas.microsoft.com/office/drawing/2014/main" xmlns="" id="{00000000-0008-0000-0100-00006D000000}"/>
              </a:ext>
            </a:extLst>
          </xdr:cNvPr>
          <xdr:cNvSpPr>
            <a:spLocks noChangeArrowheads="1"/>
          </xdr:cNvSpPr>
        </xdr:nvSpPr>
        <xdr:spPr bwMode="auto">
          <a:xfrm>
            <a:off x="8666328" y="5540702"/>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0" name="Line 182">
            <a:extLst>
              <a:ext uri="{FF2B5EF4-FFF2-40B4-BE49-F238E27FC236}">
                <a16:creationId xmlns:a16="http://schemas.microsoft.com/office/drawing/2014/main" xmlns="" id="{00000000-0008-0000-0100-00006E000000}"/>
              </a:ext>
            </a:extLst>
          </xdr:cNvPr>
          <xdr:cNvSpPr>
            <a:spLocks noChangeShapeType="1"/>
          </xdr:cNvSpPr>
        </xdr:nvSpPr>
        <xdr:spPr bwMode="auto">
          <a:xfrm>
            <a:off x="8673519" y="1182328"/>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1" name="Rectangle 183">
            <a:extLst>
              <a:ext uri="{FF2B5EF4-FFF2-40B4-BE49-F238E27FC236}">
                <a16:creationId xmlns:a16="http://schemas.microsoft.com/office/drawing/2014/main" xmlns="" id="{00000000-0008-0000-0100-00006F000000}"/>
              </a:ext>
            </a:extLst>
          </xdr:cNvPr>
          <xdr:cNvSpPr>
            <a:spLocks noChangeArrowheads="1"/>
          </xdr:cNvSpPr>
        </xdr:nvSpPr>
        <xdr:spPr bwMode="auto">
          <a:xfrm>
            <a:off x="8673519" y="1182328"/>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2" name="Line 184">
            <a:extLst>
              <a:ext uri="{FF2B5EF4-FFF2-40B4-BE49-F238E27FC236}">
                <a16:creationId xmlns:a16="http://schemas.microsoft.com/office/drawing/2014/main" xmlns="" id="{00000000-0008-0000-0100-000070000000}"/>
              </a:ext>
            </a:extLst>
          </xdr:cNvPr>
          <xdr:cNvSpPr>
            <a:spLocks noChangeShapeType="1"/>
          </xdr:cNvSpPr>
        </xdr:nvSpPr>
        <xdr:spPr bwMode="auto">
          <a:xfrm>
            <a:off x="8673519" y="1509472"/>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3" name="Rectangle 185">
            <a:extLst>
              <a:ext uri="{FF2B5EF4-FFF2-40B4-BE49-F238E27FC236}">
                <a16:creationId xmlns:a16="http://schemas.microsoft.com/office/drawing/2014/main" xmlns="" id="{00000000-0008-0000-0100-000071000000}"/>
              </a:ext>
            </a:extLst>
          </xdr:cNvPr>
          <xdr:cNvSpPr>
            <a:spLocks noChangeArrowheads="1"/>
          </xdr:cNvSpPr>
        </xdr:nvSpPr>
        <xdr:spPr bwMode="auto">
          <a:xfrm>
            <a:off x="8673519" y="1509472"/>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4" name="Line 186">
            <a:extLst>
              <a:ext uri="{FF2B5EF4-FFF2-40B4-BE49-F238E27FC236}">
                <a16:creationId xmlns:a16="http://schemas.microsoft.com/office/drawing/2014/main" xmlns="" id="{00000000-0008-0000-0100-000072000000}"/>
              </a:ext>
            </a:extLst>
          </xdr:cNvPr>
          <xdr:cNvSpPr>
            <a:spLocks noChangeShapeType="1"/>
          </xdr:cNvSpPr>
        </xdr:nvSpPr>
        <xdr:spPr bwMode="auto">
          <a:xfrm>
            <a:off x="8673519" y="2060707"/>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5" name="Rectangle 187">
            <a:extLst>
              <a:ext uri="{FF2B5EF4-FFF2-40B4-BE49-F238E27FC236}">
                <a16:creationId xmlns:a16="http://schemas.microsoft.com/office/drawing/2014/main" xmlns="" id="{00000000-0008-0000-0100-000073000000}"/>
              </a:ext>
            </a:extLst>
          </xdr:cNvPr>
          <xdr:cNvSpPr>
            <a:spLocks noChangeArrowheads="1"/>
          </xdr:cNvSpPr>
        </xdr:nvSpPr>
        <xdr:spPr bwMode="auto">
          <a:xfrm>
            <a:off x="8673519" y="2060707"/>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6" name="Line 192">
            <a:extLst>
              <a:ext uri="{FF2B5EF4-FFF2-40B4-BE49-F238E27FC236}">
                <a16:creationId xmlns:a16="http://schemas.microsoft.com/office/drawing/2014/main" xmlns="" id="{00000000-0008-0000-0100-000074000000}"/>
              </a:ext>
            </a:extLst>
          </xdr:cNvPr>
          <xdr:cNvSpPr>
            <a:spLocks noChangeShapeType="1"/>
          </xdr:cNvSpPr>
        </xdr:nvSpPr>
        <xdr:spPr bwMode="auto">
          <a:xfrm>
            <a:off x="8673519" y="3804869"/>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7" name="Rectangle 193">
            <a:extLst>
              <a:ext uri="{FF2B5EF4-FFF2-40B4-BE49-F238E27FC236}">
                <a16:creationId xmlns:a16="http://schemas.microsoft.com/office/drawing/2014/main" xmlns="" id="{00000000-0008-0000-0100-000075000000}"/>
              </a:ext>
            </a:extLst>
          </xdr:cNvPr>
          <xdr:cNvSpPr>
            <a:spLocks noChangeArrowheads="1"/>
          </xdr:cNvSpPr>
        </xdr:nvSpPr>
        <xdr:spPr bwMode="auto">
          <a:xfrm>
            <a:off x="8673519" y="3804869"/>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18" name="Line 194">
            <a:extLst>
              <a:ext uri="{FF2B5EF4-FFF2-40B4-BE49-F238E27FC236}">
                <a16:creationId xmlns:a16="http://schemas.microsoft.com/office/drawing/2014/main" xmlns="" id="{00000000-0008-0000-0100-000076000000}"/>
              </a:ext>
            </a:extLst>
          </xdr:cNvPr>
          <xdr:cNvSpPr>
            <a:spLocks noChangeShapeType="1"/>
          </xdr:cNvSpPr>
        </xdr:nvSpPr>
        <xdr:spPr bwMode="auto">
          <a:xfrm>
            <a:off x="8673519" y="4272584"/>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19" name="Rectangle 195">
            <a:extLst>
              <a:ext uri="{FF2B5EF4-FFF2-40B4-BE49-F238E27FC236}">
                <a16:creationId xmlns:a16="http://schemas.microsoft.com/office/drawing/2014/main" xmlns="" id="{00000000-0008-0000-0100-000077000000}"/>
              </a:ext>
            </a:extLst>
          </xdr:cNvPr>
          <xdr:cNvSpPr>
            <a:spLocks noChangeArrowheads="1"/>
          </xdr:cNvSpPr>
        </xdr:nvSpPr>
        <xdr:spPr bwMode="auto">
          <a:xfrm>
            <a:off x="8673519" y="4272584"/>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0" name="Line 196">
            <a:extLst>
              <a:ext uri="{FF2B5EF4-FFF2-40B4-BE49-F238E27FC236}">
                <a16:creationId xmlns:a16="http://schemas.microsoft.com/office/drawing/2014/main" xmlns="" id="{00000000-0008-0000-0100-000078000000}"/>
              </a:ext>
            </a:extLst>
          </xdr:cNvPr>
          <xdr:cNvSpPr>
            <a:spLocks noChangeShapeType="1"/>
          </xdr:cNvSpPr>
        </xdr:nvSpPr>
        <xdr:spPr bwMode="auto">
          <a:xfrm>
            <a:off x="8673519" y="4690186"/>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1" name="Rectangle 197">
            <a:extLst>
              <a:ext uri="{FF2B5EF4-FFF2-40B4-BE49-F238E27FC236}">
                <a16:creationId xmlns:a16="http://schemas.microsoft.com/office/drawing/2014/main" xmlns="" id="{00000000-0008-0000-0100-000079000000}"/>
              </a:ext>
            </a:extLst>
          </xdr:cNvPr>
          <xdr:cNvSpPr>
            <a:spLocks noChangeArrowheads="1"/>
          </xdr:cNvSpPr>
        </xdr:nvSpPr>
        <xdr:spPr bwMode="auto">
          <a:xfrm>
            <a:off x="8673519" y="4690186"/>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2" name="Line 198">
            <a:extLst>
              <a:ext uri="{FF2B5EF4-FFF2-40B4-BE49-F238E27FC236}">
                <a16:creationId xmlns:a16="http://schemas.microsoft.com/office/drawing/2014/main" xmlns="" id="{00000000-0008-0000-0100-00007A000000}"/>
              </a:ext>
            </a:extLst>
          </xdr:cNvPr>
          <xdr:cNvSpPr>
            <a:spLocks noChangeShapeType="1"/>
          </xdr:cNvSpPr>
        </xdr:nvSpPr>
        <xdr:spPr bwMode="auto">
          <a:xfrm>
            <a:off x="8673519" y="5057676"/>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3" name="Rectangle 199">
            <a:extLst>
              <a:ext uri="{FF2B5EF4-FFF2-40B4-BE49-F238E27FC236}">
                <a16:creationId xmlns:a16="http://schemas.microsoft.com/office/drawing/2014/main" xmlns="" id="{00000000-0008-0000-0100-00007B000000}"/>
              </a:ext>
            </a:extLst>
          </xdr:cNvPr>
          <xdr:cNvSpPr>
            <a:spLocks noChangeArrowheads="1"/>
          </xdr:cNvSpPr>
        </xdr:nvSpPr>
        <xdr:spPr bwMode="auto">
          <a:xfrm>
            <a:off x="8673519" y="5057676"/>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4" name="Line 200">
            <a:extLst>
              <a:ext uri="{FF2B5EF4-FFF2-40B4-BE49-F238E27FC236}">
                <a16:creationId xmlns:a16="http://schemas.microsoft.com/office/drawing/2014/main" xmlns="" id="{00000000-0008-0000-0100-00007C000000}"/>
              </a:ext>
            </a:extLst>
          </xdr:cNvPr>
          <xdr:cNvSpPr>
            <a:spLocks noChangeShapeType="1"/>
          </xdr:cNvSpPr>
        </xdr:nvSpPr>
        <xdr:spPr bwMode="auto">
          <a:xfrm>
            <a:off x="8673519" y="5266565"/>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5" name="Rectangle 201">
            <a:extLst>
              <a:ext uri="{FF2B5EF4-FFF2-40B4-BE49-F238E27FC236}">
                <a16:creationId xmlns:a16="http://schemas.microsoft.com/office/drawing/2014/main" xmlns="" id="{00000000-0008-0000-0100-00007D000000}"/>
              </a:ext>
            </a:extLst>
          </xdr:cNvPr>
          <xdr:cNvSpPr>
            <a:spLocks noChangeArrowheads="1"/>
          </xdr:cNvSpPr>
        </xdr:nvSpPr>
        <xdr:spPr bwMode="auto">
          <a:xfrm>
            <a:off x="8673519" y="5266565"/>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6" name="Line 202">
            <a:extLst>
              <a:ext uri="{FF2B5EF4-FFF2-40B4-BE49-F238E27FC236}">
                <a16:creationId xmlns:a16="http://schemas.microsoft.com/office/drawing/2014/main" xmlns="" id="{00000000-0008-0000-0100-00007E000000}"/>
              </a:ext>
            </a:extLst>
          </xdr:cNvPr>
          <xdr:cNvSpPr>
            <a:spLocks noChangeShapeType="1"/>
          </xdr:cNvSpPr>
        </xdr:nvSpPr>
        <xdr:spPr bwMode="auto">
          <a:xfrm>
            <a:off x="8673519" y="5415510"/>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7" name="Rectangle 203">
            <a:extLst>
              <a:ext uri="{FF2B5EF4-FFF2-40B4-BE49-F238E27FC236}">
                <a16:creationId xmlns:a16="http://schemas.microsoft.com/office/drawing/2014/main" xmlns="" id="{00000000-0008-0000-0100-00007F000000}"/>
              </a:ext>
            </a:extLst>
          </xdr:cNvPr>
          <xdr:cNvSpPr>
            <a:spLocks noChangeArrowheads="1"/>
          </xdr:cNvSpPr>
        </xdr:nvSpPr>
        <xdr:spPr bwMode="auto">
          <a:xfrm>
            <a:off x="8673519" y="5415510"/>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28" name="Line 204">
            <a:extLst>
              <a:ext uri="{FF2B5EF4-FFF2-40B4-BE49-F238E27FC236}">
                <a16:creationId xmlns:a16="http://schemas.microsoft.com/office/drawing/2014/main" xmlns="" id="{00000000-0008-0000-0100-000080000000}"/>
              </a:ext>
            </a:extLst>
          </xdr:cNvPr>
          <xdr:cNvSpPr>
            <a:spLocks noChangeShapeType="1"/>
          </xdr:cNvSpPr>
        </xdr:nvSpPr>
        <xdr:spPr bwMode="auto">
          <a:xfrm>
            <a:off x="8673519" y="5535134"/>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29" name="Rectangle 205">
            <a:extLst>
              <a:ext uri="{FF2B5EF4-FFF2-40B4-BE49-F238E27FC236}">
                <a16:creationId xmlns:a16="http://schemas.microsoft.com/office/drawing/2014/main" xmlns="" id="{00000000-0008-0000-0100-000081000000}"/>
              </a:ext>
            </a:extLst>
          </xdr:cNvPr>
          <xdr:cNvSpPr>
            <a:spLocks noChangeArrowheads="1"/>
          </xdr:cNvSpPr>
        </xdr:nvSpPr>
        <xdr:spPr bwMode="auto">
          <a:xfrm>
            <a:off x="8673519" y="5535134"/>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0" name="Freeform 216">
            <a:extLst>
              <a:ext uri="{FF2B5EF4-FFF2-40B4-BE49-F238E27FC236}">
                <a16:creationId xmlns:a16="http://schemas.microsoft.com/office/drawing/2014/main" xmlns="" id="{00000000-0008-0000-0100-000082000000}"/>
              </a:ext>
            </a:extLst>
          </xdr:cNvPr>
          <xdr:cNvSpPr>
            <a:spLocks noEditPoints="1"/>
          </xdr:cNvSpPr>
        </xdr:nvSpPr>
        <xdr:spPr bwMode="auto">
          <a:xfrm>
            <a:off x="5432378" y="1080681"/>
            <a:ext cx="268327" cy="1141477"/>
          </a:xfrm>
          <a:custGeom>
            <a:avLst/>
            <a:gdLst>
              <a:gd name="T0" fmla="*/ 50 w 79"/>
              <a:gd name="T1" fmla="*/ 17 h 768"/>
              <a:gd name="T2" fmla="*/ 50 w 79"/>
              <a:gd name="T3" fmla="*/ 768 h 768"/>
              <a:gd name="T4" fmla="*/ 32 w 79"/>
              <a:gd name="T5" fmla="*/ 768 h 768"/>
              <a:gd name="T6" fmla="*/ 32 w 79"/>
              <a:gd name="T7" fmla="*/ 17 h 768"/>
              <a:gd name="T8" fmla="*/ 50 w 79"/>
              <a:gd name="T9" fmla="*/ 17 h 768"/>
              <a:gd name="T10" fmla="*/ 0 w 79"/>
              <a:gd name="T11" fmla="*/ 67 h 768"/>
              <a:gd name="T12" fmla="*/ 40 w 79"/>
              <a:gd name="T13" fmla="*/ 0 h 768"/>
              <a:gd name="T14" fmla="*/ 79 w 79"/>
              <a:gd name="T15" fmla="*/ 67 h 768"/>
              <a:gd name="T16" fmla="*/ 79 w 79"/>
              <a:gd name="T17" fmla="*/ 75 h 768"/>
              <a:gd name="T18" fmla="*/ 75 w 79"/>
              <a:gd name="T19" fmla="*/ 78 h 768"/>
              <a:gd name="T20" fmla="*/ 68 w 79"/>
              <a:gd name="T21" fmla="*/ 78 h 768"/>
              <a:gd name="T22" fmla="*/ 65 w 79"/>
              <a:gd name="T23" fmla="*/ 75 h 768"/>
              <a:gd name="T24" fmla="*/ 32 w 79"/>
              <a:gd name="T25" fmla="*/ 21 h 768"/>
              <a:gd name="T26" fmla="*/ 47 w 79"/>
              <a:gd name="T27" fmla="*/ 21 h 768"/>
              <a:gd name="T28" fmla="*/ 15 w 79"/>
              <a:gd name="T29" fmla="*/ 75 h 768"/>
              <a:gd name="T30" fmla="*/ 11 w 79"/>
              <a:gd name="T31" fmla="*/ 78 h 768"/>
              <a:gd name="T32" fmla="*/ 4 w 79"/>
              <a:gd name="T33" fmla="*/ 78 h 768"/>
              <a:gd name="T34" fmla="*/ 0 w 79"/>
              <a:gd name="T35" fmla="*/ 75 h 768"/>
              <a:gd name="T36" fmla="*/ 0 w 79"/>
              <a:gd name="T37" fmla="*/ 67 h 768"/>
              <a:gd name="T38" fmla="*/ 0 w 79"/>
              <a:gd name="T39" fmla="*/ 67 h 76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
              <a:gd name="T61" fmla="*/ 0 h 768"/>
              <a:gd name="T62" fmla="*/ 79 w 79"/>
              <a:gd name="T63" fmla="*/ 768 h 76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 h="768">
                <a:moveTo>
                  <a:pt x="50" y="17"/>
                </a:moveTo>
                <a:lnTo>
                  <a:pt x="50" y="768"/>
                </a:lnTo>
                <a:lnTo>
                  <a:pt x="32" y="768"/>
                </a:lnTo>
                <a:lnTo>
                  <a:pt x="32" y="17"/>
                </a:lnTo>
                <a:lnTo>
                  <a:pt x="50" y="17"/>
                </a:lnTo>
                <a:close/>
                <a:moveTo>
                  <a:pt x="0" y="67"/>
                </a:moveTo>
                <a:lnTo>
                  <a:pt x="40" y="0"/>
                </a:lnTo>
                <a:lnTo>
                  <a:pt x="79" y="67"/>
                </a:lnTo>
                <a:lnTo>
                  <a:pt x="79" y="75"/>
                </a:lnTo>
                <a:lnTo>
                  <a:pt x="75" y="78"/>
                </a:lnTo>
                <a:lnTo>
                  <a:pt x="68" y="78"/>
                </a:lnTo>
                <a:lnTo>
                  <a:pt x="65" y="75"/>
                </a:lnTo>
                <a:lnTo>
                  <a:pt x="32" y="21"/>
                </a:lnTo>
                <a:lnTo>
                  <a:pt x="47" y="21"/>
                </a:lnTo>
                <a:lnTo>
                  <a:pt x="15" y="75"/>
                </a:lnTo>
                <a:lnTo>
                  <a:pt x="11" y="78"/>
                </a:lnTo>
                <a:lnTo>
                  <a:pt x="4" y="78"/>
                </a:lnTo>
                <a:lnTo>
                  <a:pt x="0" y="75"/>
                </a:lnTo>
                <a:lnTo>
                  <a:pt x="0" y="67"/>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31" name="Rectangle 217">
            <a:extLst>
              <a:ext uri="{FF2B5EF4-FFF2-40B4-BE49-F238E27FC236}">
                <a16:creationId xmlns:a16="http://schemas.microsoft.com/office/drawing/2014/main" xmlns="" id="{00000000-0008-0000-0100-000083000000}"/>
              </a:ext>
            </a:extLst>
          </xdr:cNvPr>
          <xdr:cNvSpPr>
            <a:spLocks noChangeArrowheads="1"/>
          </xdr:cNvSpPr>
        </xdr:nvSpPr>
        <xdr:spPr bwMode="auto">
          <a:xfrm>
            <a:off x="5543317" y="2205524"/>
            <a:ext cx="1526117" cy="46344"/>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32" name="Freeform 219">
            <a:extLst>
              <a:ext uri="{FF2B5EF4-FFF2-40B4-BE49-F238E27FC236}">
                <a16:creationId xmlns:a16="http://schemas.microsoft.com/office/drawing/2014/main" xmlns="" id="{00000000-0008-0000-0100-000084000000}"/>
              </a:ext>
            </a:extLst>
          </xdr:cNvPr>
          <xdr:cNvSpPr>
            <a:spLocks noEditPoints="1"/>
          </xdr:cNvSpPr>
        </xdr:nvSpPr>
        <xdr:spPr bwMode="auto">
          <a:xfrm>
            <a:off x="7069435" y="3071810"/>
            <a:ext cx="1788845" cy="185007"/>
          </a:xfrm>
          <a:custGeom>
            <a:avLst/>
            <a:gdLst>
              <a:gd name="T0" fmla="*/ 0 w 919"/>
              <a:gd name="T1" fmla="*/ 39 h 78"/>
              <a:gd name="T2" fmla="*/ 901 w 919"/>
              <a:gd name="T3" fmla="*/ 32 h 78"/>
              <a:gd name="T4" fmla="*/ 901 w 919"/>
              <a:gd name="T5" fmla="*/ 50 h 78"/>
              <a:gd name="T6" fmla="*/ 0 w 919"/>
              <a:gd name="T7" fmla="*/ 57 h 78"/>
              <a:gd name="T8" fmla="*/ 0 w 919"/>
              <a:gd name="T9" fmla="*/ 39 h 78"/>
              <a:gd name="T10" fmla="*/ 851 w 919"/>
              <a:gd name="T11" fmla="*/ 0 h 78"/>
              <a:gd name="T12" fmla="*/ 919 w 919"/>
              <a:gd name="T13" fmla="*/ 39 h 78"/>
              <a:gd name="T14" fmla="*/ 851 w 919"/>
              <a:gd name="T15" fmla="*/ 78 h 78"/>
              <a:gd name="T16" fmla="*/ 844 w 919"/>
              <a:gd name="T17" fmla="*/ 78 h 78"/>
              <a:gd name="T18" fmla="*/ 840 w 919"/>
              <a:gd name="T19" fmla="*/ 75 h 78"/>
              <a:gd name="T20" fmla="*/ 837 w 919"/>
              <a:gd name="T21" fmla="*/ 68 h 78"/>
              <a:gd name="T22" fmla="*/ 840 w 919"/>
              <a:gd name="T23" fmla="*/ 64 h 78"/>
              <a:gd name="T24" fmla="*/ 894 w 919"/>
              <a:gd name="T25" fmla="*/ 32 h 78"/>
              <a:gd name="T26" fmla="*/ 894 w 919"/>
              <a:gd name="T27" fmla="*/ 46 h 78"/>
              <a:gd name="T28" fmla="*/ 840 w 919"/>
              <a:gd name="T29" fmla="*/ 18 h 78"/>
              <a:gd name="T30" fmla="*/ 837 w 919"/>
              <a:gd name="T31" fmla="*/ 10 h 78"/>
              <a:gd name="T32" fmla="*/ 837 w 919"/>
              <a:gd name="T33" fmla="*/ 3 h 78"/>
              <a:gd name="T34" fmla="*/ 844 w 919"/>
              <a:gd name="T35" fmla="*/ 0 h 78"/>
              <a:gd name="T36" fmla="*/ 851 w 919"/>
              <a:gd name="T37" fmla="*/ 0 h 78"/>
              <a:gd name="T38" fmla="*/ 851 w 919"/>
              <a:gd name="T39" fmla="*/ 0 h 7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919"/>
              <a:gd name="T61" fmla="*/ 0 h 78"/>
              <a:gd name="T62" fmla="*/ 919 w 919"/>
              <a:gd name="T63" fmla="*/ 78 h 7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919" h="78">
                <a:moveTo>
                  <a:pt x="0" y="39"/>
                </a:moveTo>
                <a:lnTo>
                  <a:pt x="901" y="32"/>
                </a:lnTo>
                <a:lnTo>
                  <a:pt x="901" y="50"/>
                </a:lnTo>
                <a:lnTo>
                  <a:pt x="0" y="57"/>
                </a:lnTo>
                <a:lnTo>
                  <a:pt x="0" y="39"/>
                </a:lnTo>
                <a:close/>
                <a:moveTo>
                  <a:pt x="851" y="0"/>
                </a:moveTo>
                <a:lnTo>
                  <a:pt x="919" y="39"/>
                </a:lnTo>
                <a:lnTo>
                  <a:pt x="851" y="78"/>
                </a:lnTo>
                <a:lnTo>
                  <a:pt x="844" y="78"/>
                </a:lnTo>
                <a:lnTo>
                  <a:pt x="840" y="75"/>
                </a:lnTo>
                <a:lnTo>
                  <a:pt x="837" y="68"/>
                </a:lnTo>
                <a:lnTo>
                  <a:pt x="840" y="64"/>
                </a:lnTo>
                <a:lnTo>
                  <a:pt x="894" y="32"/>
                </a:lnTo>
                <a:lnTo>
                  <a:pt x="894" y="46"/>
                </a:lnTo>
                <a:lnTo>
                  <a:pt x="840" y="18"/>
                </a:lnTo>
                <a:lnTo>
                  <a:pt x="837" y="10"/>
                </a:lnTo>
                <a:lnTo>
                  <a:pt x="837" y="3"/>
                </a:lnTo>
                <a:lnTo>
                  <a:pt x="844" y="0"/>
                </a:lnTo>
                <a:lnTo>
                  <a:pt x="851" y="0"/>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33" name="Rectangle 64">
            <a:extLst>
              <a:ext uri="{FF2B5EF4-FFF2-40B4-BE49-F238E27FC236}">
                <a16:creationId xmlns:a16="http://schemas.microsoft.com/office/drawing/2014/main" xmlns="" id="{00000000-0008-0000-0100-000085000000}"/>
              </a:ext>
            </a:extLst>
          </xdr:cNvPr>
          <xdr:cNvSpPr>
            <a:spLocks noChangeArrowheads="1"/>
          </xdr:cNvSpPr>
        </xdr:nvSpPr>
        <xdr:spPr bwMode="auto">
          <a:xfrm>
            <a:off x="4143372" y="2697246"/>
            <a:ext cx="117500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protección - control </a:t>
            </a:r>
            <a:endParaRPr lang="es-ES" sz="1600" u="none"/>
          </a:p>
        </xdr:txBody>
      </xdr:sp>
      <xdr:sp macro="" textlink="">
        <xdr:nvSpPr>
          <xdr:cNvPr id="134" name="Rectangle 65">
            <a:extLst>
              <a:ext uri="{FF2B5EF4-FFF2-40B4-BE49-F238E27FC236}">
                <a16:creationId xmlns:a16="http://schemas.microsoft.com/office/drawing/2014/main" xmlns="" id="{00000000-0008-0000-0100-000086000000}"/>
              </a:ext>
            </a:extLst>
          </xdr:cNvPr>
          <xdr:cNvSpPr>
            <a:spLocks noChangeArrowheads="1"/>
          </xdr:cNvSpPr>
        </xdr:nvSpPr>
        <xdr:spPr bwMode="auto">
          <a:xfrm>
            <a:off x="4201110" y="2826702"/>
            <a:ext cx="1155766"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planes contingencia</a:t>
            </a:r>
            <a:endParaRPr lang="es-ES" sz="1600" u="none"/>
          </a:p>
        </xdr:txBody>
      </xdr:sp>
      <xdr:sp macro="" textlink="">
        <xdr:nvSpPr>
          <xdr:cNvPr id="135" name="Rectangle 217">
            <a:extLst>
              <a:ext uri="{FF2B5EF4-FFF2-40B4-BE49-F238E27FC236}">
                <a16:creationId xmlns:a16="http://schemas.microsoft.com/office/drawing/2014/main" xmlns="" id="{00000000-0008-0000-0100-000087000000}"/>
              </a:ext>
            </a:extLst>
          </xdr:cNvPr>
          <xdr:cNvSpPr>
            <a:spLocks noChangeArrowheads="1"/>
          </xdr:cNvSpPr>
        </xdr:nvSpPr>
        <xdr:spPr bwMode="auto">
          <a:xfrm rot="5400000">
            <a:off x="6616386" y="2670435"/>
            <a:ext cx="963336" cy="57241"/>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grpSp>
        <xdr:nvGrpSpPr>
          <xdr:cNvPr id="136" name="305 Grupo">
            <a:extLst>
              <a:ext uri="{FF2B5EF4-FFF2-40B4-BE49-F238E27FC236}">
                <a16:creationId xmlns:a16="http://schemas.microsoft.com/office/drawing/2014/main" xmlns="" id="{00000000-0008-0000-0100-000088000000}"/>
              </a:ext>
            </a:extLst>
          </xdr:cNvPr>
          <xdr:cNvGrpSpPr>
            <a:grpSpLocks/>
          </xdr:cNvGrpSpPr>
        </xdr:nvGrpSpPr>
        <xdr:grpSpPr bwMode="auto">
          <a:xfrm>
            <a:off x="2507878" y="3046531"/>
            <a:ext cx="3135692" cy="2170714"/>
            <a:chOff x="2507878" y="2615608"/>
            <a:chExt cx="3135692" cy="2170714"/>
          </a:xfrm>
        </xdr:grpSpPr>
        <xdr:sp macro="" textlink="">
          <xdr:nvSpPr>
            <xdr:cNvPr id="159" name="Freeform 211">
              <a:extLst>
                <a:ext uri="{FF2B5EF4-FFF2-40B4-BE49-F238E27FC236}">
                  <a16:creationId xmlns:a16="http://schemas.microsoft.com/office/drawing/2014/main" xmlns="" id="{00000000-0008-0000-0100-00009F000000}"/>
                </a:ext>
              </a:extLst>
            </xdr:cNvPr>
            <xdr:cNvSpPr>
              <a:spLocks noEditPoints="1"/>
            </xdr:cNvSpPr>
          </xdr:nvSpPr>
          <xdr:spPr bwMode="auto">
            <a:xfrm>
              <a:off x="5505355" y="3816605"/>
              <a:ext cx="138215" cy="969717"/>
            </a:xfrm>
            <a:custGeom>
              <a:avLst/>
              <a:gdLst>
                <a:gd name="T0" fmla="*/ 32 w 79"/>
                <a:gd name="T1" fmla="*/ 561 h 579"/>
                <a:gd name="T2" fmla="*/ 25 w 79"/>
                <a:gd name="T3" fmla="*/ 0 h 579"/>
                <a:gd name="T4" fmla="*/ 43 w 79"/>
                <a:gd name="T5" fmla="*/ 0 h 579"/>
                <a:gd name="T6" fmla="*/ 50 w 79"/>
                <a:gd name="T7" fmla="*/ 561 h 579"/>
                <a:gd name="T8" fmla="*/ 32 w 79"/>
                <a:gd name="T9" fmla="*/ 561 h 579"/>
                <a:gd name="T10" fmla="*/ 79 w 79"/>
                <a:gd name="T11" fmla="*/ 511 h 579"/>
                <a:gd name="T12" fmla="*/ 43 w 79"/>
                <a:gd name="T13" fmla="*/ 579 h 579"/>
                <a:gd name="T14" fmla="*/ 0 w 79"/>
                <a:gd name="T15" fmla="*/ 511 h 579"/>
                <a:gd name="T16" fmla="*/ 0 w 79"/>
                <a:gd name="T17" fmla="*/ 504 h 579"/>
                <a:gd name="T18" fmla="*/ 4 w 79"/>
                <a:gd name="T19" fmla="*/ 500 h 579"/>
                <a:gd name="T20" fmla="*/ 11 w 79"/>
                <a:gd name="T21" fmla="*/ 497 h 579"/>
                <a:gd name="T22" fmla="*/ 18 w 79"/>
                <a:gd name="T23" fmla="*/ 504 h 579"/>
                <a:gd name="T24" fmla="*/ 50 w 79"/>
                <a:gd name="T25" fmla="*/ 554 h 579"/>
                <a:gd name="T26" fmla="*/ 32 w 79"/>
                <a:gd name="T27" fmla="*/ 557 h 579"/>
                <a:gd name="T28" fmla="*/ 64 w 79"/>
                <a:gd name="T29" fmla="*/ 500 h 579"/>
                <a:gd name="T30" fmla="*/ 68 w 79"/>
                <a:gd name="T31" fmla="*/ 497 h 579"/>
                <a:gd name="T32" fmla="*/ 75 w 79"/>
                <a:gd name="T33" fmla="*/ 497 h 579"/>
                <a:gd name="T34" fmla="*/ 79 w 79"/>
                <a:gd name="T35" fmla="*/ 504 h 579"/>
                <a:gd name="T36" fmla="*/ 79 w 79"/>
                <a:gd name="T37" fmla="*/ 511 h 579"/>
                <a:gd name="T38" fmla="*/ 79 w 79"/>
                <a:gd name="T39" fmla="*/ 511 h 57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
                <a:gd name="T61" fmla="*/ 0 h 579"/>
                <a:gd name="T62" fmla="*/ 79 w 79"/>
                <a:gd name="T63" fmla="*/ 579 h 57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 h="579">
                  <a:moveTo>
                    <a:pt x="32" y="561"/>
                  </a:moveTo>
                  <a:lnTo>
                    <a:pt x="25" y="0"/>
                  </a:lnTo>
                  <a:lnTo>
                    <a:pt x="43" y="0"/>
                  </a:lnTo>
                  <a:lnTo>
                    <a:pt x="50" y="561"/>
                  </a:lnTo>
                  <a:lnTo>
                    <a:pt x="32" y="561"/>
                  </a:lnTo>
                  <a:close/>
                  <a:moveTo>
                    <a:pt x="79" y="511"/>
                  </a:moveTo>
                  <a:lnTo>
                    <a:pt x="43" y="579"/>
                  </a:lnTo>
                  <a:lnTo>
                    <a:pt x="0" y="511"/>
                  </a:lnTo>
                  <a:lnTo>
                    <a:pt x="0" y="504"/>
                  </a:lnTo>
                  <a:lnTo>
                    <a:pt x="4" y="500"/>
                  </a:lnTo>
                  <a:lnTo>
                    <a:pt x="11" y="497"/>
                  </a:lnTo>
                  <a:lnTo>
                    <a:pt x="18" y="504"/>
                  </a:lnTo>
                  <a:lnTo>
                    <a:pt x="50" y="554"/>
                  </a:lnTo>
                  <a:lnTo>
                    <a:pt x="32" y="557"/>
                  </a:lnTo>
                  <a:lnTo>
                    <a:pt x="64" y="500"/>
                  </a:lnTo>
                  <a:lnTo>
                    <a:pt x="68" y="497"/>
                  </a:lnTo>
                  <a:lnTo>
                    <a:pt x="75" y="497"/>
                  </a:lnTo>
                  <a:lnTo>
                    <a:pt x="79" y="504"/>
                  </a:lnTo>
                  <a:lnTo>
                    <a:pt x="79" y="511"/>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60" name="Rectangle 212">
              <a:extLst>
                <a:ext uri="{FF2B5EF4-FFF2-40B4-BE49-F238E27FC236}">
                  <a16:creationId xmlns:a16="http://schemas.microsoft.com/office/drawing/2014/main" xmlns="" id="{00000000-0008-0000-0100-0000A0000000}"/>
                </a:ext>
              </a:extLst>
            </xdr:cNvPr>
            <xdr:cNvSpPr>
              <a:spLocks noChangeArrowheads="1"/>
            </xdr:cNvSpPr>
          </xdr:nvSpPr>
          <xdr:spPr bwMode="auto">
            <a:xfrm>
              <a:off x="4028395" y="3795316"/>
              <a:ext cx="1547286" cy="46344"/>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61" name="Freeform 214">
              <a:extLst>
                <a:ext uri="{FF2B5EF4-FFF2-40B4-BE49-F238E27FC236}">
                  <a16:creationId xmlns:a16="http://schemas.microsoft.com/office/drawing/2014/main" xmlns="" id="{00000000-0008-0000-0100-0000A1000000}"/>
                </a:ext>
              </a:extLst>
            </xdr:cNvPr>
            <xdr:cNvSpPr>
              <a:spLocks noEditPoints="1"/>
            </xdr:cNvSpPr>
          </xdr:nvSpPr>
          <xdr:spPr bwMode="auto">
            <a:xfrm>
              <a:off x="2507878" y="2615608"/>
              <a:ext cx="1520520" cy="206606"/>
            </a:xfrm>
            <a:custGeom>
              <a:avLst/>
              <a:gdLst>
                <a:gd name="T0" fmla="*/ 797 w 797"/>
                <a:gd name="T1" fmla="*/ 50 h 82"/>
                <a:gd name="T2" fmla="*/ 18 w 797"/>
                <a:gd name="T3" fmla="*/ 50 h 82"/>
                <a:gd name="T4" fmla="*/ 18 w 797"/>
                <a:gd name="T5" fmla="*/ 32 h 82"/>
                <a:gd name="T6" fmla="*/ 797 w 797"/>
                <a:gd name="T7" fmla="*/ 32 h 82"/>
                <a:gd name="T8" fmla="*/ 797 w 797"/>
                <a:gd name="T9" fmla="*/ 50 h 82"/>
                <a:gd name="T10" fmla="*/ 68 w 797"/>
                <a:gd name="T11" fmla="*/ 78 h 82"/>
                <a:gd name="T12" fmla="*/ 0 w 797"/>
                <a:gd name="T13" fmla="*/ 39 h 82"/>
                <a:gd name="T14" fmla="*/ 68 w 797"/>
                <a:gd name="T15" fmla="*/ 0 h 82"/>
                <a:gd name="T16" fmla="*/ 75 w 797"/>
                <a:gd name="T17" fmla="*/ 0 h 82"/>
                <a:gd name="T18" fmla="*/ 79 w 797"/>
                <a:gd name="T19" fmla="*/ 3 h 82"/>
                <a:gd name="T20" fmla="*/ 79 w 797"/>
                <a:gd name="T21" fmla="*/ 10 h 82"/>
                <a:gd name="T22" fmla="*/ 75 w 797"/>
                <a:gd name="T23" fmla="*/ 17 h 82"/>
                <a:gd name="T24" fmla="*/ 21 w 797"/>
                <a:gd name="T25" fmla="*/ 50 h 82"/>
                <a:gd name="T26" fmla="*/ 21 w 797"/>
                <a:gd name="T27" fmla="*/ 32 h 82"/>
                <a:gd name="T28" fmla="*/ 75 w 797"/>
                <a:gd name="T29" fmla="*/ 64 h 82"/>
                <a:gd name="T30" fmla="*/ 79 w 797"/>
                <a:gd name="T31" fmla="*/ 67 h 82"/>
                <a:gd name="T32" fmla="*/ 79 w 797"/>
                <a:gd name="T33" fmla="*/ 75 h 82"/>
                <a:gd name="T34" fmla="*/ 75 w 797"/>
                <a:gd name="T35" fmla="*/ 82 h 82"/>
                <a:gd name="T36" fmla="*/ 68 w 797"/>
                <a:gd name="T37" fmla="*/ 78 h 82"/>
                <a:gd name="T38" fmla="*/ 68 w 797"/>
                <a:gd name="T39" fmla="*/ 78 h 8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797"/>
                <a:gd name="T61" fmla="*/ 0 h 82"/>
                <a:gd name="T62" fmla="*/ 797 w 797"/>
                <a:gd name="T63" fmla="*/ 82 h 8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797" h="82">
                  <a:moveTo>
                    <a:pt x="797" y="50"/>
                  </a:moveTo>
                  <a:lnTo>
                    <a:pt x="18" y="50"/>
                  </a:lnTo>
                  <a:lnTo>
                    <a:pt x="18" y="32"/>
                  </a:lnTo>
                  <a:lnTo>
                    <a:pt x="797" y="32"/>
                  </a:lnTo>
                  <a:lnTo>
                    <a:pt x="797" y="50"/>
                  </a:lnTo>
                  <a:close/>
                  <a:moveTo>
                    <a:pt x="68" y="78"/>
                  </a:moveTo>
                  <a:lnTo>
                    <a:pt x="0" y="39"/>
                  </a:lnTo>
                  <a:lnTo>
                    <a:pt x="68" y="0"/>
                  </a:lnTo>
                  <a:lnTo>
                    <a:pt x="75" y="0"/>
                  </a:lnTo>
                  <a:lnTo>
                    <a:pt x="79" y="3"/>
                  </a:lnTo>
                  <a:lnTo>
                    <a:pt x="79" y="10"/>
                  </a:lnTo>
                  <a:lnTo>
                    <a:pt x="75" y="17"/>
                  </a:lnTo>
                  <a:lnTo>
                    <a:pt x="21" y="50"/>
                  </a:lnTo>
                  <a:lnTo>
                    <a:pt x="21" y="32"/>
                  </a:lnTo>
                  <a:lnTo>
                    <a:pt x="75" y="64"/>
                  </a:lnTo>
                  <a:lnTo>
                    <a:pt x="79" y="67"/>
                  </a:lnTo>
                  <a:lnTo>
                    <a:pt x="79" y="75"/>
                  </a:lnTo>
                  <a:lnTo>
                    <a:pt x="75" y="82"/>
                  </a:lnTo>
                  <a:lnTo>
                    <a:pt x="68" y="78"/>
                  </a:lnTo>
                  <a:close/>
                </a:path>
              </a:pathLst>
            </a:custGeom>
            <a:solidFill>
              <a:srgbClr val="000000"/>
            </a:solidFill>
            <a:ln w="0">
              <a:solidFill>
                <a:srgbClr val="000000"/>
              </a:solidFill>
              <a:prstDash val="solid"/>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62" name="Rectangle 217">
              <a:extLst>
                <a:ext uri="{FF2B5EF4-FFF2-40B4-BE49-F238E27FC236}">
                  <a16:creationId xmlns:a16="http://schemas.microsoft.com/office/drawing/2014/main" xmlns="" id="{00000000-0008-0000-0100-0000A2000000}"/>
                </a:ext>
              </a:extLst>
            </xdr:cNvPr>
            <xdr:cNvSpPr>
              <a:spLocks noChangeArrowheads="1"/>
            </xdr:cNvSpPr>
          </xdr:nvSpPr>
          <xdr:spPr bwMode="auto">
            <a:xfrm rot="5400000">
              <a:off x="3429397" y="3236829"/>
              <a:ext cx="1141156" cy="57241"/>
            </a:xfrm>
            <a:prstGeom prst="rect">
              <a:avLst/>
            </a:prstGeom>
            <a:solidFill>
              <a:srgbClr val="000000"/>
            </a:solidFill>
            <a:ln w="0">
              <a:solidFill>
                <a:srgbClr val="000000"/>
              </a:solid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grpSp>
      <xdr:sp macro="" textlink="">
        <xdr:nvSpPr>
          <xdr:cNvPr id="137" name="Rectangle 54">
            <a:extLst>
              <a:ext uri="{FF2B5EF4-FFF2-40B4-BE49-F238E27FC236}">
                <a16:creationId xmlns:a16="http://schemas.microsoft.com/office/drawing/2014/main" xmlns="" id="{00000000-0008-0000-0100-000089000000}"/>
              </a:ext>
            </a:extLst>
          </xdr:cNvPr>
          <xdr:cNvSpPr>
            <a:spLocks noChangeArrowheads="1"/>
          </xdr:cNvSpPr>
        </xdr:nvSpPr>
        <xdr:spPr bwMode="auto">
          <a:xfrm>
            <a:off x="3000864" y="1573907"/>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prevención - </a:t>
            </a:r>
            <a:endParaRPr lang="es-ES" sz="1600" u="none"/>
          </a:p>
        </xdr:txBody>
      </xdr:sp>
      <xdr:sp macro="" textlink="">
        <xdr:nvSpPr>
          <xdr:cNvPr id="138" name="Rectangle 55">
            <a:extLst>
              <a:ext uri="{FF2B5EF4-FFF2-40B4-BE49-F238E27FC236}">
                <a16:creationId xmlns:a16="http://schemas.microsoft.com/office/drawing/2014/main" xmlns="" id="{00000000-0008-0000-0100-00008A000000}"/>
              </a:ext>
            </a:extLst>
          </xdr:cNvPr>
          <xdr:cNvSpPr>
            <a:spLocks noChangeArrowheads="1"/>
          </xdr:cNvSpPr>
        </xdr:nvSpPr>
        <xdr:spPr bwMode="auto">
          <a:xfrm>
            <a:off x="2808186" y="1703364"/>
            <a:ext cx="1125309"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000000"/>
                </a:solidFill>
                <a:latin typeface="Verdana" pitchFamily="34" charset="0"/>
              </a:rPr>
              <a:t> control- monitoreo</a:t>
            </a:r>
            <a:endParaRPr lang="es-ES" sz="1600" u="none"/>
          </a:p>
        </xdr:txBody>
      </xdr:sp>
      <xdr:cxnSp macro="">
        <xdr:nvCxnSpPr>
          <xdr:cNvPr id="139" name="AutoShape 2">
            <a:extLst>
              <a:ext uri="{FF2B5EF4-FFF2-40B4-BE49-F238E27FC236}">
                <a16:creationId xmlns:a16="http://schemas.microsoft.com/office/drawing/2014/main" xmlns="" id="{00000000-0008-0000-0100-00008B000000}"/>
              </a:ext>
            </a:extLst>
          </xdr:cNvPr>
          <xdr:cNvCxnSpPr>
            <a:cxnSpLocks noChangeShapeType="1"/>
          </xdr:cNvCxnSpPr>
        </xdr:nvCxnSpPr>
        <xdr:spPr bwMode="auto">
          <a:xfrm>
            <a:off x="2820549" y="5699144"/>
            <a:ext cx="5680541" cy="1588"/>
          </a:xfrm>
          <a:prstGeom prst="straightConnector1">
            <a:avLst/>
          </a:prstGeom>
          <a:noFill/>
          <a:ln w="38100">
            <a:solidFill>
              <a:schemeClr val="tx1"/>
            </a:solidFill>
            <a:round/>
            <a:headEnd type="triangle" w="med" len="med"/>
            <a:tailEnd type="triangle" w="med" len="med"/>
          </a:ln>
        </xdr:spPr>
      </xdr:cxnSp>
      <xdr:sp macro="" textlink="">
        <xdr:nvSpPr>
          <xdr:cNvPr id="140" name="Text Box 3">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892484" y="5457782"/>
            <a:ext cx="1465466" cy="400110"/>
          </a:xfrm>
          <a:prstGeom prst="rect">
            <a:avLst/>
          </a:prstGeom>
          <a:solidFill>
            <a:schemeClr val="bg1"/>
          </a:solidFill>
          <a:ln w="9525" algn="ctr">
            <a:noFill/>
            <a:miter lim="800000"/>
            <a:headEnd/>
            <a:tailEnd/>
          </a:ln>
        </xdr:spPr>
        <xdr:txBody>
          <a:bodyPr wrap="square">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r>
              <a:rPr lang="es-CO" sz="2000" u="none">
                <a:solidFill>
                  <a:srgbClr val="000000"/>
                </a:solidFill>
                <a:latin typeface="Tahoma" pitchFamily="34" charset="0"/>
              </a:rPr>
              <a:t>Severidad</a:t>
            </a:r>
            <a:endParaRPr lang="es-ES" sz="2000" u="none">
              <a:solidFill>
                <a:srgbClr val="000000"/>
              </a:solidFill>
              <a:latin typeface="Tahoma" pitchFamily="34" charset="0"/>
            </a:endParaRPr>
          </a:p>
        </xdr:txBody>
      </xdr:sp>
      <xdr:cxnSp macro="">
        <xdr:nvCxnSpPr>
          <xdr:cNvPr id="141" name="AutoShape 4">
            <a:extLst>
              <a:ext uri="{FF2B5EF4-FFF2-40B4-BE49-F238E27FC236}">
                <a16:creationId xmlns:a16="http://schemas.microsoft.com/office/drawing/2014/main" xmlns="" id="{00000000-0008-0000-0100-00008D000000}"/>
              </a:ext>
            </a:extLst>
          </xdr:cNvPr>
          <xdr:cNvCxnSpPr>
            <a:cxnSpLocks noChangeShapeType="1"/>
          </xdr:cNvCxnSpPr>
        </xdr:nvCxnSpPr>
        <xdr:spPr bwMode="auto">
          <a:xfrm rot="5400000" flipH="1" flipV="1">
            <a:off x="-618289" y="3335814"/>
            <a:ext cx="2919117" cy="1987"/>
          </a:xfrm>
          <a:prstGeom prst="straightConnector1">
            <a:avLst/>
          </a:prstGeom>
          <a:noFill/>
          <a:ln w="38100">
            <a:solidFill>
              <a:schemeClr val="tx1"/>
            </a:solidFill>
            <a:round/>
            <a:headEnd type="triangle" w="med" len="med"/>
            <a:tailEnd type="triangle" w="med" len="med"/>
          </a:ln>
        </xdr:spPr>
      </xdr:cxnSp>
      <xdr:sp macro="" textlink="">
        <xdr:nvSpPr>
          <xdr:cNvPr id="142" name="Text Box 5">
            <a:extLst>
              <a:ext uri="{FF2B5EF4-FFF2-40B4-BE49-F238E27FC236}">
                <a16:creationId xmlns:a16="http://schemas.microsoft.com/office/drawing/2014/main" xmlns="" id="{00000000-0008-0000-0100-00008E000000}"/>
              </a:ext>
            </a:extLst>
          </xdr:cNvPr>
          <xdr:cNvSpPr txBox="1">
            <a:spLocks noChangeArrowheads="1"/>
          </xdr:cNvSpPr>
        </xdr:nvSpPr>
        <xdr:spPr bwMode="auto">
          <a:xfrm rot="-5400000">
            <a:off x="40313" y="3064336"/>
            <a:ext cx="1576072" cy="400110"/>
          </a:xfrm>
          <a:prstGeom prst="rect">
            <a:avLst/>
          </a:prstGeom>
          <a:solidFill>
            <a:schemeClr val="bg1"/>
          </a:solidFill>
          <a:ln w="9525">
            <a:noFill/>
            <a:miter lim="800000"/>
            <a:headEnd/>
            <a:tailEnd/>
          </a:ln>
        </xdr:spPr>
        <xdr:txBody>
          <a:bodyPr wrap="square">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r>
              <a:rPr lang="es-CO" sz="2000" u="none">
                <a:solidFill>
                  <a:srgbClr val="000000"/>
                </a:solidFill>
                <a:latin typeface="Tahoma" pitchFamily="34" charset="0"/>
              </a:rPr>
              <a:t>Frecuencia</a:t>
            </a:r>
            <a:endParaRPr lang="es-ES" sz="2000" u="none">
              <a:solidFill>
                <a:srgbClr val="000000"/>
              </a:solidFill>
              <a:latin typeface="Tahoma" pitchFamily="34" charset="0"/>
            </a:endParaRPr>
          </a:p>
        </xdr:txBody>
      </xdr:sp>
      <xdr:sp macro="" textlink="">
        <xdr:nvSpPr>
          <xdr:cNvPr id="143" name="Rectangle 72">
            <a:extLst>
              <a:ext uri="{FF2B5EF4-FFF2-40B4-BE49-F238E27FC236}">
                <a16:creationId xmlns:a16="http://schemas.microsoft.com/office/drawing/2014/main" xmlns="" id="{00000000-0008-0000-0100-00008F000000}"/>
              </a:ext>
            </a:extLst>
          </xdr:cNvPr>
          <xdr:cNvSpPr>
            <a:spLocks noChangeArrowheads="1"/>
          </xdr:cNvSpPr>
        </xdr:nvSpPr>
        <xdr:spPr bwMode="auto">
          <a:xfrm>
            <a:off x="5982161" y="1433777"/>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prevención - </a:t>
            </a:r>
            <a:endParaRPr lang="es-ES" sz="1600" u="none"/>
          </a:p>
        </xdr:txBody>
      </xdr:sp>
      <xdr:sp macro="" textlink="">
        <xdr:nvSpPr>
          <xdr:cNvPr id="144" name="Rectangle 73">
            <a:extLst>
              <a:ext uri="{FF2B5EF4-FFF2-40B4-BE49-F238E27FC236}">
                <a16:creationId xmlns:a16="http://schemas.microsoft.com/office/drawing/2014/main" xmlns="" id="{00000000-0008-0000-0100-000090000000}"/>
              </a:ext>
            </a:extLst>
          </xdr:cNvPr>
          <xdr:cNvSpPr>
            <a:spLocks noChangeArrowheads="1"/>
          </xdr:cNvSpPr>
        </xdr:nvSpPr>
        <xdr:spPr bwMode="auto">
          <a:xfrm>
            <a:off x="5715008" y="1561842"/>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protección - control - </a:t>
            </a:r>
            <a:endParaRPr lang="es-ES" sz="1600" u="none"/>
          </a:p>
        </xdr:txBody>
      </xdr:sp>
      <xdr:sp macro="" textlink="">
        <xdr:nvSpPr>
          <xdr:cNvPr id="145" name="Rectangle 74">
            <a:extLst>
              <a:ext uri="{FF2B5EF4-FFF2-40B4-BE49-F238E27FC236}">
                <a16:creationId xmlns:a16="http://schemas.microsoft.com/office/drawing/2014/main" xmlns="" id="{00000000-0008-0000-0100-000091000000}"/>
              </a:ext>
            </a:extLst>
          </xdr:cNvPr>
          <xdr:cNvSpPr>
            <a:spLocks noChangeArrowheads="1"/>
          </xdr:cNvSpPr>
        </xdr:nvSpPr>
        <xdr:spPr bwMode="auto">
          <a:xfrm>
            <a:off x="6033365" y="1691298"/>
            <a:ext cx="586699" cy="36933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a:t>
            </a:r>
          </a:p>
          <a:p>
            <a:pPr algn="ctr"/>
            <a:endParaRPr lang="es-ES" sz="1600" u="none"/>
          </a:p>
        </xdr:txBody>
      </xdr:sp>
      <xdr:sp macro="" textlink="">
        <xdr:nvSpPr>
          <xdr:cNvPr id="146" name="Rectangle 75">
            <a:extLst>
              <a:ext uri="{FF2B5EF4-FFF2-40B4-BE49-F238E27FC236}">
                <a16:creationId xmlns:a16="http://schemas.microsoft.com/office/drawing/2014/main" xmlns="" id="{00000000-0008-0000-0100-000092000000}"/>
              </a:ext>
            </a:extLst>
          </xdr:cNvPr>
          <xdr:cNvSpPr>
            <a:spLocks noChangeArrowheads="1"/>
          </xdr:cNvSpPr>
        </xdr:nvSpPr>
        <xdr:spPr bwMode="auto">
          <a:xfrm>
            <a:off x="5734759" y="1820755"/>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147" name="Rectangle 76">
            <a:extLst>
              <a:ext uri="{FF2B5EF4-FFF2-40B4-BE49-F238E27FC236}">
                <a16:creationId xmlns:a16="http://schemas.microsoft.com/office/drawing/2014/main" xmlns="" id="{00000000-0008-0000-0100-000093000000}"/>
              </a:ext>
            </a:extLst>
          </xdr:cNvPr>
          <xdr:cNvSpPr>
            <a:spLocks noChangeArrowheads="1"/>
          </xdr:cNvSpPr>
        </xdr:nvSpPr>
        <xdr:spPr bwMode="auto">
          <a:xfrm>
            <a:off x="5970302" y="1950211"/>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sp macro="" textlink="">
        <xdr:nvSpPr>
          <xdr:cNvPr id="148" name="Line 184">
            <a:extLst>
              <a:ext uri="{FF2B5EF4-FFF2-40B4-BE49-F238E27FC236}">
                <a16:creationId xmlns:a16="http://schemas.microsoft.com/office/drawing/2014/main" xmlns="" id="{00000000-0008-0000-0100-000094000000}"/>
              </a:ext>
            </a:extLst>
          </xdr:cNvPr>
          <xdr:cNvSpPr>
            <a:spLocks noChangeShapeType="1"/>
          </xdr:cNvSpPr>
        </xdr:nvSpPr>
        <xdr:spPr bwMode="auto">
          <a:xfrm>
            <a:off x="7154973" y="1475298"/>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49" name="Rectangle 185">
            <a:extLst>
              <a:ext uri="{FF2B5EF4-FFF2-40B4-BE49-F238E27FC236}">
                <a16:creationId xmlns:a16="http://schemas.microsoft.com/office/drawing/2014/main" xmlns="" id="{00000000-0008-0000-0100-000095000000}"/>
              </a:ext>
            </a:extLst>
          </xdr:cNvPr>
          <xdr:cNvSpPr>
            <a:spLocks noChangeArrowheads="1"/>
          </xdr:cNvSpPr>
        </xdr:nvSpPr>
        <xdr:spPr bwMode="auto">
          <a:xfrm>
            <a:off x="7154973" y="1475298"/>
            <a:ext cx="7192" cy="4176"/>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0" name="Line 186">
            <a:extLst>
              <a:ext uri="{FF2B5EF4-FFF2-40B4-BE49-F238E27FC236}">
                <a16:creationId xmlns:a16="http://schemas.microsoft.com/office/drawing/2014/main" xmlns="" id="{00000000-0008-0000-0100-000096000000}"/>
              </a:ext>
            </a:extLst>
          </xdr:cNvPr>
          <xdr:cNvSpPr>
            <a:spLocks noChangeShapeType="1"/>
          </xdr:cNvSpPr>
        </xdr:nvSpPr>
        <xdr:spPr bwMode="auto">
          <a:xfrm>
            <a:off x="7154973" y="2026533"/>
            <a:ext cx="1798" cy="1392"/>
          </a:xfrm>
          <a:prstGeom prst="line">
            <a:avLst/>
          </a:prstGeom>
          <a:noFill/>
          <a:ln w="0">
            <a:solidFill>
              <a:srgbClr val="D0D7E5"/>
            </a:solidFill>
            <a:round/>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endParaRPr lang="es-ES"/>
          </a:p>
        </xdr:txBody>
      </xdr:sp>
      <xdr:sp macro="" textlink="">
        <xdr:nvSpPr>
          <xdr:cNvPr id="151" name="Rectangle 187">
            <a:extLst>
              <a:ext uri="{FF2B5EF4-FFF2-40B4-BE49-F238E27FC236}">
                <a16:creationId xmlns:a16="http://schemas.microsoft.com/office/drawing/2014/main" xmlns="" id="{00000000-0008-0000-0100-000097000000}"/>
              </a:ext>
            </a:extLst>
          </xdr:cNvPr>
          <xdr:cNvSpPr>
            <a:spLocks noChangeArrowheads="1"/>
          </xdr:cNvSpPr>
        </xdr:nvSpPr>
        <xdr:spPr bwMode="auto">
          <a:xfrm>
            <a:off x="7154973" y="2026533"/>
            <a:ext cx="7192" cy="5568"/>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2" name="Rectangle 115">
            <a:extLst>
              <a:ext uri="{FF2B5EF4-FFF2-40B4-BE49-F238E27FC236}">
                <a16:creationId xmlns:a16="http://schemas.microsoft.com/office/drawing/2014/main" xmlns="" id="{00000000-0008-0000-0100-000098000000}"/>
              </a:ext>
            </a:extLst>
          </xdr:cNvPr>
          <xdr:cNvSpPr>
            <a:spLocks noChangeArrowheads="1"/>
          </xdr:cNvSpPr>
        </xdr:nvSpPr>
        <xdr:spPr bwMode="auto">
          <a:xfrm>
            <a:off x="7392427" y="2285992"/>
            <a:ext cx="923330" cy="12311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SIGNIFICATIVO</a:t>
            </a:r>
            <a:endParaRPr lang="es-ES" sz="1600" u="none"/>
          </a:p>
        </xdr:txBody>
      </xdr:sp>
      <xdr:sp macro="" textlink="">
        <xdr:nvSpPr>
          <xdr:cNvPr id="153" name="Rectangle 128">
            <a:extLst>
              <a:ext uri="{FF2B5EF4-FFF2-40B4-BE49-F238E27FC236}">
                <a16:creationId xmlns:a16="http://schemas.microsoft.com/office/drawing/2014/main" xmlns="" id="{00000000-0008-0000-0100-000099000000}"/>
              </a:ext>
            </a:extLst>
          </xdr:cNvPr>
          <xdr:cNvSpPr>
            <a:spLocks noChangeArrowheads="1"/>
          </xdr:cNvSpPr>
        </xdr:nvSpPr>
        <xdr:spPr bwMode="auto">
          <a:xfrm>
            <a:off x="7114387" y="2253898"/>
            <a:ext cx="7192" cy="1392"/>
          </a:xfrm>
          <a:prstGeom prst="rect">
            <a:avLst/>
          </a:prstGeom>
          <a:solidFill>
            <a:srgbClr val="D0D7E5"/>
          </a:solidFill>
          <a:ln w="9525">
            <a:noFill/>
            <a:miter lim="800000"/>
            <a:headEnd/>
            <a:tailEnd/>
          </a:ln>
        </xdr:spPr>
        <xdr:txBody>
          <a:bodyPr wrap="square"/>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spcBef>
                <a:spcPct val="50000"/>
              </a:spcBef>
            </a:pPr>
            <a:endParaRPr lang="es-ES" sz="1600"/>
          </a:p>
        </xdr:txBody>
      </xdr:sp>
      <xdr:sp macro="" textlink="">
        <xdr:nvSpPr>
          <xdr:cNvPr id="154" name="Rectangle 72">
            <a:extLst>
              <a:ext uri="{FF2B5EF4-FFF2-40B4-BE49-F238E27FC236}">
                <a16:creationId xmlns:a16="http://schemas.microsoft.com/office/drawing/2014/main" xmlns="" id="{00000000-0008-0000-0100-00009A000000}"/>
              </a:ext>
            </a:extLst>
          </xdr:cNvPr>
          <xdr:cNvSpPr>
            <a:spLocks noChangeArrowheads="1"/>
          </xdr:cNvSpPr>
        </xdr:nvSpPr>
        <xdr:spPr bwMode="auto">
          <a:xfrm>
            <a:off x="7508281" y="2428868"/>
            <a:ext cx="763029"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prevención - </a:t>
            </a:r>
            <a:endParaRPr lang="es-ES" sz="1600" u="none"/>
          </a:p>
        </xdr:txBody>
      </xdr:sp>
      <xdr:sp macro="" textlink="">
        <xdr:nvSpPr>
          <xdr:cNvPr id="155" name="Rectangle 73">
            <a:extLst>
              <a:ext uri="{FF2B5EF4-FFF2-40B4-BE49-F238E27FC236}">
                <a16:creationId xmlns:a16="http://schemas.microsoft.com/office/drawing/2014/main" xmlns="" id="{00000000-0008-0000-0100-00009B000000}"/>
              </a:ext>
            </a:extLst>
          </xdr:cNvPr>
          <xdr:cNvSpPr>
            <a:spLocks noChangeArrowheads="1"/>
          </xdr:cNvSpPr>
        </xdr:nvSpPr>
        <xdr:spPr bwMode="auto">
          <a:xfrm>
            <a:off x="7241128" y="2556933"/>
            <a:ext cx="1259962"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protección - control - </a:t>
            </a:r>
            <a:endParaRPr lang="es-ES" sz="1600" u="none"/>
          </a:p>
        </xdr:txBody>
      </xdr:sp>
      <xdr:sp macro="" textlink="">
        <xdr:nvSpPr>
          <xdr:cNvPr id="156" name="Rectangle 74">
            <a:extLst>
              <a:ext uri="{FF2B5EF4-FFF2-40B4-BE49-F238E27FC236}">
                <a16:creationId xmlns:a16="http://schemas.microsoft.com/office/drawing/2014/main" xmlns="" id="{00000000-0008-0000-0100-00009C000000}"/>
              </a:ext>
            </a:extLst>
          </xdr:cNvPr>
          <xdr:cNvSpPr>
            <a:spLocks noChangeArrowheads="1"/>
          </xdr:cNvSpPr>
        </xdr:nvSpPr>
        <xdr:spPr bwMode="auto">
          <a:xfrm>
            <a:off x="7559485" y="2686389"/>
            <a:ext cx="586699" cy="369332"/>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transferir </a:t>
            </a:r>
          </a:p>
          <a:p>
            <a:pPr algn="ctr"/>
            <a:endParaRPr lang="es-ES" sz="1600" u="none"/>
          </a:p>
        </xdr:txBody>
      </xdr:sp>
      <xdr:sp macro="" textlink="">
        <xdr:nvSpPr>
          <xdr:cNvPr id="157" name="Rectangle 75">
            <a:extLst>
              <a:ext uri="{FF2B5EF4-FFF2-40B4-BE49-F238E27FC236}">
                <a16:creationId xmlns:a16="http://schemas.microsoft.com/office/drawing/2014/main" xmlns="" id="{00000000-0008-0000-0100-00009D000000}"/>
              </a:ext>
            </a:extLst>
          </xdr:cNvPr>
          <xdr:cNvSpPr>
            <a:spLocks noChangeArrowheads="1"/>
          </xdr:cNvSpPr>
        </xdr:nvSpPr>
        <xdr:spPr bwMode="auto">
          <a:xfrm>
            <a:off x="7260879" y="2815846"/>
            <a:ext cx="1227901"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planes de atención y </a:t>
            </a:r>
            <a:endParaRPr lang="es-ES" sz="1600" u="none"/>
          </a:p>
        </xdr:txBody>
      </xdr:sp>
      <xdr:sp macro="" textlink="">
        <xdr:nvSpPr>
          <xdr:cNvPr id="158" name="Rectangle 76">
            <a:extLst>
              <a:ext uri="{FF2B5EF4-FFF2-40B4-BE49-F238E27FC236}">
                <a16:creationId xmlns:a16="http://schemas.microsoft.com/office/drawing/2014/main" xmlns="" id="{00000000-0008-0000-0100-00009E000000}"/>
              </a:ext>
            </a:extLst>
          </xdr:cNvPr>
          <xdr:cNvSpPr>
            <a:spLocks noChangeArrowheads="1"/>
          </xdr:cNvSpPr>
        </xdr:nvSpPr>
        <xdr:spPr bwMode="auto">
          <a:xfrm>
            <a:off x="7496422" y="2945302"/>
            <a:ext cx="740588" cy="121467"/>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b="1" u="sng" kern="1200">
                <a:solidFill>
                  <a:schemeClr val="tx1"/>
                </a:solidFill>
                <a:latin typeface="Arial" charset="0"/>
                <a:ea typeface="+mn-ea"/>
                <a:cs typeface="Arial" charset="0"/>
              </a:defRPr>
            </a:lvl1pPr>
            <a:lvl2pPr marL="457200" algn="l" rtl="0" fontAlgn="base">
              <a:spcBef>
                <a:spcPct val="0"/>
              </a:spcBef>
              <a:spcAft>
                <a:spcPct val="0"/>
              </a:spcAft>
              <a:defRPr b="1" u="sng" kern="1200">
                <a:solidFill>
                  <a:schemeClr val="tx1"/>
                </a:solidFill>
                <a:latin typeface="Arial" charset="0"/>
                <a:ea typeface="+mn-ea"/>
                <a:cs typeface="Arial" charset="0"/>
              </a:defRPr>
            </a:lvl2pPr>
            <a:lvl3pPr marL="914400" algn="l" rtl="0" fontAlgn="base">
              <a:spcBef>
                <a:spcPct val="0"/>
              </a:spcBef>
              <a:spcAft>
                <a:spcPct val="0"/>
              </a:spcAft>
              <a:defRPr b="1" u="sng" kern="1200">
                <a:solidFill>
                  <a:schemeClr val="tx1"/>
                </a:solidFill>
                <a:latin typeface="Arial" charset="0"/>
                <a:ea typeface="+mn-ea"/>
                <a:cs typeface="Arial" charset="0"/>
              </a:defRPr>
            </a:lvl3pPr>
            <a:lvl4pPr marL="1371600" algn="l" rtl="0" fontAlgn="base">
              <a:spcBef>
                <a:spcPct val="0"/>
              </a:spcBef>
              <a:spcAft>
                <a:spcPct val="0"/>
              </a:spcAft>
              <a:defRPr b="1" u="sng" kern="1200">
                <a:solidFill>
                  <a:schemeClr val="tx1"/>
                </a:solidFill>
                <a:latin typeface="Arial" charset="0"/>
                <a:ea typeface="+mn-ea"/>
                <a:cs typeface="Arial" charset="0"/>
              </a:defRPr>
            </a:lvl4pPr>
            <a:lvl5pPr marL="1828800" algn="l" rtl="0" fontAlgn="base">
              <a:spcBef>
                <a:spcPct val="0"/>
              </a:spcBef>
              <a:spcAft>
                <a:spcPct val="0"/>
              </a:spcAft>
              <a:defRPr b="1" u="sng" kern="1200">
                <a:solidFill>
                  <a:schemeClr val="tx1"/>
                </a:solidFill>
                <a:latin typeface="Arial" charset="0"/>
                <a:ea typeface="+mn-ea"/>
                <a:cs typeface="Arial" charset="0"/>
              </a:defRPr>
            </a:lvl5pPr>
            <a:lvl6pPr marL="2286000" algn="l" defTabSz="914400" rtl="0" eaLnBrk="1" latinLnBrk="0" hangingPunct="1">
              <a:defRPr b="1" u="sng" kern="1200">
                <a:solidFill>
                  <a:schemeClr val="tx1"/>
                </a:solidFill>
                <a:latin typeface="Arial" charset="0"/>
                <a:ea typeface="+mn-ea"/>
                <a:cs typeface="Arial" charset="0"/>
              </a:defRPr>
            </a:lvl6pPr>
            <a:lvl7pPr marL="2743200" algn="l" defTabSz="914400" rtl="0" eaLnBrk="1" latinLnBrk="0" hangingPunct="1">
              <a:defRPr b="1" u="sng" kern="1200">
                <a:solidFill>
                  <a:schemeClr val="tx1"/>
                </a:solidFill>
                <a:latin typeface="Arial" charset="0"/>
                <a:ea typeface="+mn-ea"/>
                <a:cs typeface="Arial" charset="0"/>
              </a:defRPr>
            </a:lvl7pPr>
            <a:lvl8pPr marL="3200400" algn="l" defTabSz="914400" rtl="0" eaLnBrk="1" latinLnBrk="0" hangingPunct="1">
              <a:defRPr b="1" u="sng" kern="1200">
                <a:solidFill>
                  <a:schemeClr val="tx1"/>
                </a:solidFill>
                <a:latin typeface="Arial" charset="0"/>
                <a:ea typeface="+mn-ea"/>
                <a:cs typeface="Arial" charset="0"/>
              </a:defRPr>
            </a:lvl8pPr>
            <a:lvl9pPr marL="3657600" algn="l" defTabSz="914400" rtl="0" eaLnBrk="1" latinLnBrk="0" hangingPunct="1">
              <a:defRPr b="1" u="sng" kern="1200">
                <a:solidFill>
                  <a:schemeClr val="tx1"/>
                </a:solidFill>
                <a:latin typeface="Arial" charset="0"/>
                <a:ea typeface="+mn-ea"/>
                <a:cs typeface="Arial" charset="0"/>
              </a:defRPr>
            </a:lvl9pPr>
          </a:lstStyle>
          <a:p>
            <a:pPr algn="ctr"/>
            <a:r>
              <a:rPr lang="es-ES" sz="800" u="none">
                <a:solidFill>
                  <a:srgbClr val="FFFFFF"/>
                </a:solidFill>
                <a:latin typeface="Verdana" pitchFamily="34" charset="0"/>
              </a:rPr>
              <a:t>contingencia</a:t>
            </a:r>
            <a:endParaRPr lang="es-ES" sz="1600" u="none"/>
          </a:p>
        </xdr:txBody>
      </xdr: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D:\Users\SSCTAM~1\AppData\Local\Temp\notes392B92\20120725%20Maestro%20lecciones%20aprendid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ristina Tamayo Aguiar" refreshedDate="41113.430383449071" createdVersion="3" refreshedVersion="3" minRefreshableVersion="3" recordCount="92">
  <cacheSource type="worksheet">
    <worksheetSource ref="B17:Q109" sheet="Maestro" r:id="rId2"/>
  </cacheSource>
  <cacheFields count="16">
    <cacheField name="Fecha de ocurrencia (dd/mm/aaaa)" numFmtId="14">
      <sharedItems containsNonDate="0" containsDate="1" containsString="0" containsBlank="1" minDate="2010-04-15T00:00:00" maxDate="2012-01-21T00:00:00" count="12">
        <d v="2010-04-15T00:00:00"/>
        <d v="2011-08-15T00:00:00"/>
        <d v="2011-06-01T00:00:00"/>
        <d v="2011-10-07T00:00:00"/>
        <d v="2011-04-01T00:00:00"/>
        <d v="2011-09-01T00:00:00"/>
        <d v="2011-10-24T00:00:00"/>
        <m/>
        <d v="2011-11-01T00:00:00"/>
        <d v="2011-11-02T00:00:00"/>
        <d v="2011-10-01T00:00:00"/>
        <d v="2012-01-20T00:00:00"/>
      </sharedItems>
    </cacheField>
    <cacheField name="Proyecto / Mantenimiento" numFmtId="17">
      <sharedItems containsBlank="1" count="16">
        <s v="Proyecto Multicompañias"/>
        <s v="Proyecto Novaventa, CEDI Noel"/>
        <s v="Ampliación Gestión Cargo Zona Franca La Candelaria"/>
        <s v="Oficinas Cárnicos, Bogotá"/>
        <s v="Nueva sede CN Cartagena"/>
        <s v="Venta locales"/>
        <s v="Traslado sede Comercial Nutresa Cucuta"/>
        <s v="Laboratorios de calidad Mildelicias y Zenu Medellín"/>
        <s v="Aplicación general"/>
        <s v="Cosntrucción losas Tecniagro"/>
        <s v="Ampliación venta al paso medellin"/>
        <s v="Ampliación el carmen"/>
        <s v="Sedes comercial nutresa"/>
        <s v="Todos"/>
        <s v="Proyecto Genesis"/>
        <m/>
      </sharedItems>
    </cacheField>
    <cacheField name="Ubicación (Ciudad)" numFmtId="0">
      <sharedItems containsBlank="1" count="11">
        <s v="Medellín"/>
        <s v="El Carmen de Viboral"/>
        <s v="Cartagena"/>
        <s v="Bogotá"/>
        <s v="Rionegro"/>
        <s v="Cúcuta"/>
        <s v="General"/>
        <s v="Envigado"/>
        <s v="Itagui"/>
        <s v="Oriente"/>
        <m/>
      </sharedItems>
    </cacheField>
    <cacheField name="Titular (Quien realiza el lanzamiento)" numFmtId="17">
      <sharedItems containsBlank="1" count="8">
        <s v="Jorge Enrique Salazar Cardona"/>
        <s v="Mónica Jiménez Carmona "/>
        <s v="Daniel Moreno Wickmann"/>
        <s v="Paul García Álvarez "/>
        <s v="Victoria Eugenia Forero Suárez"/>
        <s v="Mauricio Andres Navas Pulido"/>
        <s v="Francisco Jose Morales Fernandez"/>
        <m/>
      </sharedItems>
    </cacheField>
    <cacheField name="Descripción de la lección " numFmtId="0">
      <sharedItems containsBlank="1" count="23" longText="1">
        <s v="Acompañamiento TI, En el momento de presupuestar los capítulos que tiene relación con Telecomunicaciones, plantas telefónicas y con sistemas de Rack, ups, no se tienen costos claros y la retroalimentación para los informes de gestión no es oportuna.                                                                                                                                                                                                                                                                                             La participación en montajes técnicos como salas de video conferencias y todos sus accesorios no es clara la participación y el seguimiento"/>
        <s v="Divisiones en vidrio, Inconformidad de los usuarios, por poca privacidad (registro visual) y por no ser un material que aisle el ruido entre los diferentes salones y/o oficinas"/>
        <s v="Reprocesos por poca información en los planos y especificaciones"/>
        <s v="No coincide la información del alcance inicial del proyecto que corresponde al presupuesto aprobado de manera que exista correspondencia para justificaciones en las variaciones, el proveedor pasa unos valores de acuerdo a un alcance, nosotros tenemos otro aprobado con el cliente y el contrato se firmará por otro valor."/>
        <s v="Trámite licencia; se presenta ante curaduría un proyecto con un alcance definido por el cliente,  posteriormente se presenta modificación en los planos por parte del cliente (bodega lateral) situación que afecta el tiempo, alcance y el presupuesto. "/>
        <s v="Tiempos de inicio y planeación, se presenta ajuste en los tiempos de planificación del proyecto basados en los requerimientos del cliente que no permiten el debido proceso generandose omisiones en las revisiones de los proyectos, ejemplo falta de entrega el los requerimientos del proyecto al diseñador "/>
        <s v="Deterioro de cubierta, se presenta deformación de la cubierta debido a cambio de temperatura."/>
        <s v="Reprocesos en diseños. Se entrega a diseñador planos que no contienen lo realmente ejecutado en primera etapa del proyecto."/>
        <s v="Definir en la inspección de inmuebles para arrendar, el check list de aspectos a evaluar en inmuebles usados (Ubicación, Estructural, Hidrasanitario, Eléctrico, cubiertas, matriz de riesgos)."/>
        <s v="Validación previo a la etapa de negociación final a cerca de quien es la contraparte, a fin de buscar agilizar la negociación, si la contraparte tiene algún vinculo comercial o relación indirecta con el Grupo"/>
        <s v="Estudio de títulos de predios en venta._x000a_Cuando se realizó la minuta de venta se detecto incongruencia en linderos y desactualizacion en la información y cantidad de folios ."/>
        <s v="- Funcionarios con algun nivel en la sede dan ordenes y contraordenes a los trabajadores de obra._x000a_- Las indicaciones que dan que van en contra de los diseños aprobados_x000a_-Solicitaron cambiar el pasatulas de lugar, dañaron la puerta, Solicitaron mover la consignación nocturna"/>
        <s v="Dentro de los desarrollos de los proyectos tanto en obra , o en algunas oportunidades en etapa de planeación no se utilizan planos realizados por arquitectura , si no, se recurre a planos que realiza el negocio con Dibujantes, inclusive copiandose al equipo ejecutor planos que no llevan las directrices de arquitectura"/>
        <s v="en etapa de arranque de proyectos se entrega información completa planos aprobados, especificaciones, detalles constructivos, acabados, provedores potenciales, pero no se da la importancia que tiene esta etapa de entregables de dichos entregables por parte del cliente interno, inclusive en la etapa de planeación no se reciben observaciones por parte de Ingenieria, lo que genera reprocesos posteriores en diseño, e inclusive comunicarle al cliente de cambios a proyectos previamente aprobados."/>
        <s v="en los procesos constructivos o de mantenimiento se realizan cambios de ubicaciones de elementos arquitectonicos o estructurales, dichos cambios no se comunican a Arquitectura , lo que hace que cuando se revisen planos se encuentren desactualizados"/>
        <s v="En diseños estructurales metálico se debe contempalr aletas de reforzamiento en uniones, ya que si no se tiene encuenta con el filo de fachadas apareceran dichas aletas"/>
        <s v="El proyecto tuvo un alcance inicial que aprobo el negocio. Luego de la aprobación se realizaron muchas solicitudes de cambio, muchas de ellas directamente al contratista y no se conocian por el equipo de OC.  lo que derivo en muchos reprocesos, sobrecostos,  intervenciones diferentes a lo que estaba en planos, haciendolo un proyecto dificil de controlar."/>
        <s v="Los involucrados en el proyecto no son usuarios finales pro lo tanto el alcance que tuvo fue distinto al que tenian en mente los usuarios."/>
        <s v="-en el proceso de diseño se hizo la proyección de almacenamiento de acuerdo a numero de posiciones y se contaba con el area de los muelles actaules. Cuando se dibuja el proyecto se encuentra que la bodega se queda corta ya que necesita mas areas de preparación y conexiones con ciruclaciones de acuerdo al layout propuesto por el cliente"/>
        <s v="Se coordinaron diseños con el cliente y el tema de cámaras a pesar de varias solicitudes a riesgos no se realizó durante la obra. Esto implico que se tuvieran que hacer reformas electricas luego de haberse entregado las sedes. El cliente ve esto como falta de planeación de obras civiles"/>
        <s v="En el seguimiento del estado del documento contractual se presenta la oprtunidad de mantener el registro del avance de las etapas del mismo"/>
        <s v="El uso del software de colaboración del equipo Quickr, vínculado a Lotus Notes "/>
        <m/>
      </sharedItems>
    </cacheField>
    <cacheField name="Cómo pudiera haberse hecho mejor o se realizó de mejor manera?" numFmtId="0">
      <sharedItems containsBlank="1" count="23" longText="1">
        <s v="Definiendo rol de cada una de las personas que intervienen y que cada uno asuma la responsabilidad hasta el final"/>
        <s v="cambiando los vidrios que daban medianería por paneles en Drywall doble cara,  colocando a los vidrios"/>
        <s v="mejorando en la supervisión y exigencia a los terceros en la calidad de la información de los planos y las listas de especificaciones y materiales. Los Ingenieros de obra deberán tener el tiempo para hacer la lectura de los planos y hacer las observaciones necesarias para que antes de entregárselos a los contratistas se hagan los ajustes."/>
        <s v="Solicitando como propuesta independiente al oferente cuando se queira ofertar un alcance diferente al aprobado y acordado,  para que se tenga declarado el alcance y ellos jsutifiquen diferencias en caso de aplicar. Comunicando al equipo para tener claridad y estar nivelados en información de manera coherente al cliente"/>
        <s v="Contando con la aprobación formal del alcance del proyecto por parte del cliente, verificando control de cambios."/>
        <s v="Cuantificando los tiempos de inicio y planeación para tener metas claras en los entregables, tanto en tiempo como en alcance de los mismos."/>
        <s v="Incluyendo lucarna, Verificando las condiciones de las estructuras  actuales en los proyectos de ampliación, "/>
        <s v="verificando la actualización de los planos record al cierre de los proyectos"/>
        <s v="Previo al cierre de la negociación realizar una inspección técnica detallada, por parte del ingeniero que estará a cargo del proyecto, con el fin de mapear todas aquellas actividades que pueden tener peso en el proyecto, ya sea técnicamente o presupuestalmente. (Que se necesita y que se debe detallar)"/>
        <s v="Debe generarse una comunicación o consulta al interior del grupo para validar si hay algún tipo de vinculo o conocimiento de la contraparte. No limitarse a listas de operaciones ilegales."/>
        <s v="Debe tomarse toda la información de la propiedad, validarse y cruzarse entre si.  Entre otros debe tenerse la información de certificados de libertad, escrituras prediales, planos de escritura, planos topograficos, arquitectonicos.  Los datos a cruzarse son: valor catastral, valor comercial, area escrituras, numero de folios, direcciones, linderos, codigo catastral, area construida, area lotes, area comprada (por escritura), area actual, nombre del propietario.  Esta información debe coincidir en todos los documentos."/>
        <s v="Garantizando que el contratista ejecute lo inidcado en planos y por el Ing o Arq. Que en caso que aparezca una solicitud esta sea canalizada con nosotros y no con el contratista y que el contratista valide antes de ejecutar"/>
        <s v="Se debe tener el apoyo desde el liderazgo interno Ingeniero Civil lider , Soportes de ingenieria y Cliente Externo lider, para que planos que ya estan en etapa de desarrollo o ejecución sean los que han venido validados por arquitectura. Tener presente el rol de Dibujantes en los proyectos que se piden"/>
        <s v="se requiere que la comunicación, u observaciones a los proyectos sean en el momento oportuno del desarrollo de los proyectos."/>
        <s v="estar informando por parte del ingeniero civil, los cambios que se realicen en las sedes"/>
        <s v="contemplar aletas , para sacar plomada de muro"/>
        <s v="Garantizando que el cliente comprenda cual es el alcance real del proyecto, y buscando que los puntos de contacto tengan claro el conducto regular para las solicitudes. Adicional si esto no se da, dar orden estricta al contratista que los cambios solicitados los debe comunicar para tener algun control."/>
        <s v="Asegurando con el lider por parte del cliente que el ususario final esté representado por alguien en el equipo del proyecto para que las necesidades que este identifique se vean reflejadas evitando asi muchos cambios al mommento de la ejecución cuando el usuario final toma parte del  proyecto"/>
        <s v="Se debe ser claro con el cliente y las proyecciones que se entregan. Adiciona, no se deben elaborar cifras que comprometen recursos (especialmente en proyectos de magnitud grande) sin tener al menos un esquema que ilustre lo proyectado en numeros."/>
        <s v="Cerrando brechas con el area de riesgos y buscando mayor compromiso especialmente en el tema de seguridad a la hora de la planeacion y ejecución de los proyectos ya que la imagen de SN es la que se compromete."/>
        <s v="Modificando el proceso llevado en contratación  llevandolo a base de datos"/>
        <s v="Adoptando el quickr como medio de colaboración donde se almacena la información en la web, y se tiene acceso desde internet o lotus notes facilita la consulta y posibilita un espacio de dispositorio de información temporal  de la Gerencia "/>
        <m/>
      </sharedItems>
    </cacheField>
    <cacheField name="Categoría de la lección" numFmtId="0">
      <sharedItems containsBlank="1" count="8">
        <s v="Tiempo de entrega"/>
        <s v="Especificaciones"/>
        <s v="Diseño"/>
        <s v="Comunicaciones"/>
        <s v="Seguimiento"/>
        <s v="Adquisiciones, ventas y prediales"/>
        <s v="Contrato"/>
        <m/>
      </sharedItems>
    </cacheField>
    <cacheField name="Causa" numFmtId="0">
      <sharedItems containsBlank="1" count="6">
        <s v="Autonomía"/>
        <s v="Procedimientos de verificación"/>
        <s v="personas"/>
        <s v="Normas y políticas "/>
        <s v="equipo"/>
        <m/>
      </sharedItems>
    </cacheField>
    <cacheField name="Frecuencia" numFmtId="0">
      <sharedItems containsString="0" containsBlank="1" containsNumber="1" containsInteger="1" minValue="1" maxValue="4" count="5">
        <n v="4"/>
        <n v="1"/>
        <n v="3"/>
        <n v="2"/>
        <m/>
      </sharedItems>
    </cacheField>
    <cacheField name="Impacto" numFmtId="0">
      <sharedItems containsString="0" containsBlank="1" containsNumber="1" containsInteger="1" minValue="1" maxValue="4" count="5">
        <n v="3"/>
        <n v="4"/>
        <n v="2"/>
        <n v="1"/>
        <m/>
      </sharedItems>
    </cacheField>
    <cacheField name="Efecto" numFmtId="0">
      <sharedItems containsBlank="1" count="5">
        <s v="Reputación"/>
        <s v="Información"/>
        <s v="Financiero"/>
        <s v="Humano"/>
        <m/>
      </sharedItems>
    </cacheField>
    <cacheField name="Prioridad" numFmtId="0">
      <sharedItems containsString="0" containsBlank="1" containsNumber="1" containsInteger="1" minValue="1" maxValue="16" count="9">
        <n v="12"/>
        <n v="3"/>
        <n v="4"/>
        <n v="2"/>
        <n v="16"/>
        <n v="6"/>
        <n v="9"/>
        <n v="1"/>
        <m/>
      </sharedItems>
    </cacheField>
    <cacheField name="Plan de acción" numFmtId="0">
      <sharedItems containsBlank="1" count="15">
        <s v="definir rol y responsabilidades de los involucrados  al incio del proyecto"/>
        <s v="verificar las necesidades, teniendo en cuenta el uso de los espacios"/>
        <s v="Entregar los planos del proyecto con toda la información"/>
        <s v="Revisar al detalle las actividades y cantidades suministradas por el diseñador, Verificar el alcance con el cliente antes de  realizar la invitación a ofertar"/>
        <s v="Garantizar que en la etapa de inicio se cuente con la aprobación del cliente, evidenciando mediante acta de comité o correo electrónico "/>
        <s v="Evaluar al inicio del proyecto que procesos son activables (mohp), cuantificar los tiempos de entrega de los mismos y documentarlos"/>
        <s v="Programar seguimiento a proyecto terminado 3 meses después de ejecutado y documentar aspectos relevantes."/>
        <s v="Verificar plano record definitivo al finalizar proyecto"/>
        <s v="Desarrollar un formato o check list complementario a la evaluación para los inmuebles de mas de 10 años."/>
        <s v="Generar un listado de personas claves al interior del grupo que deben ser consultadas."/>
        <s v="Debe contratarse un estudio de titulos para todas las propiedades en venta, asi como tambien se debe realizar estudio a todas las propiedades que se compren."/>
        <s v="establecer con el contratista una clara comunicación garantizando que los cambios solicitados pasen paor la validación del SNUT previo a su ejecución._x000a__x000a_Reforzar comunicación con los jefes de regional"/>
        <m/>
        <s v="se debe contamplar"/>
        <s v="Compartir con el proceso de administración de propiedades"/>
      </sharedItems>
    </cacheField>
    <cacheField name="Seguimiento" numFmtId="14">
      <sharedItems containsNonDate="0" containsDate="1" containsString="0" containsBlank="1" minDate="2011-07-10T00:00:00" maxDate="2012-02-24T00:00:00" count="8">
        <d v="2011-07-10T00:00:00"/>
        <d v="2011-11-10T00:00:00"/>
        <d v="2011-11-11T00:00:00"/>
        <d v="2011-11-12T00:00:00"/>
        <d v="2011-11-13T00:00:00"/>
        <m/>
        <d v="2011-11-26T00:00:00"/>
        <d v="2012-02-23T00:00:00"/>
      </sharedItems>
    </cacheField>
    <cacheField name="Responsable" numFmtId="17">
      <sharedItems containsBlank="1" count="7">
        <s v="Lider del proyecto"/>
        <s v="Arquitectura"/>
        <s v="Mónica Jiménez Carmona "/>
        <s v="Paul García Álvarez "/>
        <s v="Andrea Cecilia Rojas Mendivil"/>
        <s v="Gloria Isabel Restrepo Riaza"/>
        <m/>
      </sharedItems>
    </cacheField>
    <cacheField name="Estado" numFmtId="2">
      <sharedItems containsBlank="1" count="3">
        <s v="En implementación "/>
        <s v="Sin Acción y/o desactualizad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
  <r>
    <x v="0"/>
    <x v="0"/>
    <x v="0"/>
    <x v="0"/>
    <x v="0"/>
    <x v="0"/>
    <x v="0"/>
    <x v="0"/>
    <x v="0"/>
    <x v="0"/>
    <x v="0"/>
    <x v="0"/>
    <x v="0"/>
    <x v="0"/>
    <x v="0"/>
    <x v="0"/>
  </r>
  <r>
    <x v="0"/>
    <x v="0"/>
    <x v="0"/>
    <x v="0"/>
    <x v="1"/>
    <x v="1"/>
    <x v="1"/>
    <x v="1"/>
    <x v="1"/>
    <x v="0"/>
    <x v="0"/>
    <x v="1"/>
    <x v="1"/>
    <x v="0"/>
    <x v="1"/>
    <x v="0"/>
  </r>
  <r>
    <x v="0"/>
    <x v="1"/>
    <x v="1"/>
    <x v="0"/>
    <x v="2"/>
    <x v="2"/>
    <x v="2"/>
    <x v="1"/>
    <x v="0"/>
    <x v="0"/>
    <x v="1"/>
    <x v="0"/>
    <x v="2"/>
    <x v="0"/>
    <x v="1"/>
    <x v="0"/>
  </r>
  <r>
    <x v="1"/>
    <x v="2"/>
    <x v="2"/>
    <x v="1"/>
    <x v="3"/>
    <x v="3"/>
    <x v="3"/>
    <x v="2"/>
    <x v="1"/>
    <x v="1"/>
    <x v="2"/>
    <x v="2"/>
    <x v="3"/>
    <x v="1"/>
    <x v="2"/>
    <x v="0"/>
  </r>
  <r>
    <x v="1"/>
    <x v="2"/>
    <x v="2"/>
    <x v="2"/>
    <x v="4"/>
    <x v="4"/>
    <x v="3"/>
    <x v="3"/>
    <x v="2"/>
    <x v="1"/>
    <x v="0"/>
    <x v="0"/>
    <x v="4"/>
    <x v="1"/>
    <x v="3"/>
    <x v="0"/>
  </r>
  <r>
    <x v="1"/>
    <x v="2"/>
    <x v="2"/>
    <x v="3"/>
    <x v="5"/>
    <x v="5"/>
    <x v="0"/>
    <x v="1"/>
    <x v="2"/>
    <x v="1"/>
    <x v="0"/>
    <x v="0"/>
    <x v="5"/>
    <x v="1"/>
    <x v="0"/>
    <x v="0"/>
  </r>
  <r>
    <x v="1"/>
    <x v="2"/>
    <x v="2"/>
    <x v="4"/>
    <x v="6"/>
    <x v="6"/>
    <x v="4"/>
    <x v="1"/>
    <x v="1"/>
    <x v="1"/>
    <x v="2"/>
    <x v="2"/>
    <x v="6"/>
    <x v="1"/>
    <x v="0"/>
    <x v="1"/>
  </r>
  <r>
    <x v="1"/>
    <x v="2"/>
    <x v="2"/>
    <x v="4"/>
    <x v="7"/>
    <x v="7"/>
    <x v="4"/>
    <x v="1"/>
    <x v="1"/>
    <x v="2"/>
    <x v="2"/>
    <x v="3"/>
    <x v="7"/>
    <x v="1"/>
    <x v="0"/>
    <x v="1"/>
  </r>
  <r>
    <x v="2"/>
    <x v="3"/>
    <x v="3"/>
    <x v="5"/>
    <x v="8"/>
    <x v="8"/>
    <x v="5"/>
    <x v="1"/>
    <x v="0"/>
    <x v="1"/>
    <x v="2"/>
    <x v="4"/>
    <x v="8"/>
    <x v="2"/>
    <x v="4"/>
    <x v="0"/>
  </r>
  <r>
    <x v="3"/>
    <x v="4"/>
    <x v="2"/>
    <x v="4"/>
    <x v="9"/>
    <x v="9"/>
    <x v="5"/>
    <x v="1"/>
    <x v="3"/>
    <x v="2"/>
    <x v="0"/>
    <x v="2"/>
    <x v="9"/>
    <x v="3"/>
    <x v="4"/>
    <x v="1"/>
  </r>
  <r>
    <x v="4"/>
    <x v="5"/>
    <x v="4"/>
    <x v="4"/>
    <x v="10"/>
    <x v="10"/>
    <x v="5"/>
    <x v="1"/>
    <x v="0"/>
    <x v="0"/>
    <x v="2"/>
    <x v="0"/>
    <x v="10"/>
    <x v="4"/>
    <x v="4"/>
    <x v="0"/>
  </r>
  <r>
    <x v="5"/>
    <x v="6"/>
    <x v="5"/>
    <x v="2"/>
    <x v="11"/>
    <x v="11"/>
    <x v="4"/>
    <x v="2"/>
    <x v="2"/>
    <x v="2"/>
    <x v="2"/>
    <x v="5"/>
    <x v="11"/>
    <x v="5"/>
    <x v="5"/>
    <x v="0"/>
  </r>
  <r>
    <x v="6"/>
    <x v="7"/>
    <x v="0"/>
    <x v="6"/>
    <x v="12"/>
    <x v="12"/>
    <x v="2"/>
    <x v="4"/>
    <x v="2"/>
    <x v="0"/>
    <x v="1"/>
    <x v="6"/>
    <x v="12"/>
    <x v="6"/>
    <x v="1"/>
    <x v="0"/>
  </r>
  <r>
    <x v="6"/>
    <x v="8"/>
    <x v="6"/>
    <x v="6"/>
    <x v="13"/>
    <x v="13"/>
    <x v="2"/>
    <x v="4"/>
    <x v="2"/>
    <x v="0"/>
    <x v="1"/>
    <x v="6"/>
    <x v="12"/>
    <x v="5"/>
    <x v="6"/>
    <x v="2"/>
  </r>
  <r>
    <x v="7"/>
    <x v="8"/>
    <x v="6"/>
    <x v="6"/>
    <x v="14"/>
    <x v="14"/>
    <x v="2"/>
    <x v="4"/>
    <x v="2"/>
    <x v="2"/>
    <x v="1"/>
    <x v="5"/>
    <x v="12"/>
    <x v="5"/>
    <x v="6"/>
    <x v="2"/>
  </r>
  <r>
    <x v="6"/>
    <x v="9"/>
    <x v="7"/>
    <x v="6"/>
    <x v="15"/>
    <x v="15"/>
    <x v="2"/>
    <x v="2"/>
    <x v="1"/>
    <x v="3"/>
    <x v="3"/>
    <x v="7"/>
    <x v="13"/>
    <x v="5"/>
    <x v="6"/>
    <x v="2"/>
  </r>
  <r>
    <x v="8"/>
    <x v="10"/>
    <x v="8"/>
    <x v="2"/>
    <x v="16"/>
    <x v="16"/>
    <x v="3"/>
    <x v="2"/>
    <x v="3"/>
    <x v="0"/>
    <x v="2"/>
    <x v="5"/>
    <x v="12"/>
    <x v="5"/>
    <x v="6"/>
    <x v="2"/>
  </r>
  <r>
    <x v="9"/>
    <x v="10"/>
    <x v="8"/>
    <x v="2"/>
    <x v="17"/>
    <x v="17"/>
    <x v="3"/>
    <x v="1"/>
    <x v="1"/>
    <x v="0"/>
    <x v="2"/>
    <x v="1"/>
    <x v="12"/>
    <x v="5"/>
    <x v="6"/>
    <x v="2"/>
  </r>
  <r>
    <x v="10"/>
    <x v="11"/>
    <x v="9"/>
    <x v="2"/>
    <x v="18"/>
    <x v="18"/>
    <x v="2"/>
    <x v="1"/>
    <x v="3"/>
    <x v="2"/>
    <x v="2"/>
    <x v="2"/>
    <x v="12"/>
    <x v="5"/>
    <x v="6"/>
    <x v="2"/>
  </r>
  <r>
    <x v="8"/>
    <x v="12"/>
    <x v="10"/>
    <x v="2"/>
    <x v="19"/>
    <x v="19"/>
    <x v="3"/>
    <x v="2"/>
    <x v="0"/>
    <x v="3"/>
    <x v="0"/>
    <x v="2"/>
    <x v="12"/>
    <x v="5"/>
    <x v="6"/>
    <x v="2"/>
  </r>
  <r>
    <x v="11"/>
    <x v="13"/>
    <x v="0"/>
    <x v="3"/>
    <x v="20"/>
    <x v="20"/>
    <x v="6"/>
    <x v="2"/>
    <x v="0"/>
    <x v="3"/>
    <x v="1"/>
    <x v="2"/>
    <x v="14"/>
    <x v="7"/>
    <x v="4"/>
    <x v="0"/>
  </r>
  <r>
    <x v="11"/>
    <x v="14"/>
    <x v="0"/>
    <x v="3"/>
    <x v="21"/>
    <x v="21"/>
    <x v="3"/>
    <x v="2"/>
    <x v="1"/>
    <x v="1"/>
    <x v="1"/>
    <x v="2"/>
    <x v="12"/>
    <x v="7"/>
    <x v="0"/>
    <x v="0"/>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r>
    <x v="7"/>
    <x v="15"/>
    <x v="10"/>
    <x v="7"/>
    <x v="22"/>
    <x v="22"/>
    <x v="7"/>
    <x v="5"/>
    <x v="4"/>
    <x v="4"/>
    <x v="4"/>
    <x v="8"/>
    <x v="12"/>
    <x v="5"/>
    <x v="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4:J11" firstHeaderRow="1" firstDataRow="2" firstDataCol="1" rowPageCount="2" colPageCount="1"/>
  <pivotFields count="16">
    <pivotField showAll="0"/>
    <pivotField axis="axisPage" showAll="0">
      <items count="17">
        <item x="11"/>
        <item x="2"/>
        <item x="10"/>
        <item x="8"/>
        <item x="9"/>
        <item x="7"/>
        <item x="4"/>
        <item x="3"/>
        <item x="0"/>
        <item x="1"/>
        <item x="12"/>
        <item x="6"/>
        <item x="5"/>
        <item x="15"/>
        <item x="13"/>
        <item x="14"/>
        <item t="default"/>
      </items>
    </pivotField>
    <pivotField showAll="0"/>
    <pivotField showAll="0"/>
    <pivotField showAll="0"/>
    <pivotField showAll="0"/>
    <pivotField axis="axisCol" showAll="0">
      <items count="9">
        <item x="5"/>
        <item x="3"/>
        <item x="2"/>
        <item x="1"/>
        <item x="4"/>
        <item x="0"/>
        <item x="7"/>
        <item x="6"/>
        <item t="default"/>
      </items>
    </pivotField>
    <pivotField dataField="1" showAll="0"/>
    <pivotField showAll="0"/>
    <pivotField showAll="0"/>
    <pivotField axis="axisRow" showAll="0">
      <items count="6">
        <item x="2"/>
        <item x="3"/>
        <item x="1"/>
        <item x="0"/>
        <item x="4"/>
        <item t="default"/>
      </items>
    </pivotField>
    <pivotField axis="axisPage" showAll="0">
      <items count="10">
        <item x="7"/>
        <item x="3"/>
        <item x="1"/>
        <item x="2"/>
        <item x="5"/>
        <item x="6"/>
        <item x="0"/>
        <item x="4"/>
        <item x="8"/>
        <item t="default"/>
      </items>
    </pivotField>
    <pivotField showAll="0"/>
    <pivotField showAll="0"/>
    <pivotField showAll="0"/>
    <pivotField showAll="0"/>
  </pivotFields>
  <rowFields count="1">
    <field x="10"/>
  </rowFields>
  <rowItems count="6">
    <i>
      <x/>
    </i>
    <i>
      <x v="1"/>
    </i>
    <i>
      <x v="2"/>
    </i>
    <i>
      <x v="3"/>
    </i>
    <i>
      <x v="4"/>
    </i>
    <i t="grand">
      <x/>
    </i>
  </rowItems>
  <colFields count="1">
    <field x="6"/>
  </colFields>
  <colItems count="9">
    <i>
      <x/>
    </i>
    <i>
      <x v="1"/>
    </i>
    <i>
      <x v="2"/>
    </i>
    <i>
      <x v="3"/>
    </i>
    <i>
      <x v="4"/>
    </i>
    <i>
      <x v="5"/>
    </i>
    <i>
      <x v="6"/>
    </i>
    <i>
      <x v="7"/>
    </i>
    <i t="grand">
      <x/>
    </i>
  </colItems>
  <pageFields count="2">
    <pageField fld="1" hier="-1"/>
    <pageField fld="11" hier="-1"/>
  </pageFields>
  <dataFields count="1">
    <dataField name="Cuenta de Causa" fld="7"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AB36"/>
  <sheetViews>
    <sheetView topLeftCell="N15" workbookViewId="0">
      <selection activeCell="Q22" sqref="Q22"/>
    </sheetView>
  </sheetViews>
  <sheetFormatPr baseColWidth="10" defaultColWidth="10.7109375" defaultRowHeight="15"/>
  <cols>
    <col min="3" max="3" width="33.28515625" customWidth="1"/>
    <col min="20" max="20" width="18" customWidth="1"/>
    <col min="21" max="22" width="11.42578125" customWidth="1"/>
    <col min="23" max="23" width="13.28515625" customWidth="1"/>
    <col min="24" max="28" width="11.42578125" customWidth="1"/>
  </cols>
  <sheetData>
    <row r="1" spans="1:3">
      <c r="A1" t="s">
        <v>30</v>
      </c>
    </row>
    <row r="2" spans="1:3">
      <c r="A2" s="174">
        <v>1</v>
      </c>
      <c r="B2" s="175" t="s">
        <v>31</v>
      </c>
      <c r="C2" s="9" t="s">
        <v>32</v>
      </c>
    </row>
    <row r="3" spans="1:3" ht="33.75">
      <c r="A3" s="174"/>
      <c r="B3" s="175"/>
      <c r="C3" s="9" t="s">
        <v>33</v>
      </c>
    </row>
    <row r="4" spans="1:3" ht="22.5">
      <c r="A4" s="174"/>
      <c r="B4" s="175"/>
      <c r="C4" s="9" t="s">
        <v>34</v>
      </c>
    </row>
    <row r="5" spans="1:3">
      <c r="A5" s="174">
        <v>2</v>
      </c>
      <c r="B5" s="175" t="s">
        <v>35</v>
      </c>
      <c r="C5" s="9" t="s">
        <v>36</v>
      </c>
    </row>
    <row r="6" spans="1:3" ht="22.5">
      <c r="A6" s="174"/>
      <c r="B6" s="175"/>
      <c r="C6" s="9" t="s">
        <v>37</v>
      </c>
    </row>
    <row r="7" spans="1:3" ht="22.5">
      <c r="A7" s="174"/>
      <c r="B7" s="175"/>
      <c r="C7" s="9" t="s">
        <v>38</v>
      </c>
    </row>
    <row r="8" spans="1:3">
      <c r="A8" s="174">
        <v>3</v>
      </c>
      <c r="B8" s="175" t="s">
        <v>39</v>
      </c>
      <c r="C8" s="9" t="s">
        <v>40</v>
      </c>
    </row>
    <row r="9" spans="1:3" ht="22.5">
      <c r="A9" s="174"/>
      <c r="B9" s="175"/>
      <c r="C9" s="9" t="s">
        <v>41</v>
      </c>
    </row>
    <row r="10" spans="1:3" ht="22.5">
      <c r="A10" s="174"/>
      <c r="B10" s="175"/>
      <c r="C10" s="9" t="s">
        <v>42</v>
      </c>
    </row>
    <row r="11" spans="1:3">
      <c r="A11" s="174">
        <v>4</v>
      </c>
      <c r="B11" s="175" t="s">
        <v>43</v>
      </c>
      <c r="C11" s="9" t="s">
        <v>44</v>
      </c>
    </row>
    <row r="12" spans="1:3" ht="22.5">
      <c r="A12" s="174"/>
      <c r="B12" s="175"/>
      <c r="C12" s="10" t="s">
        <v>45</v>
      </c>
    </row>
    <row r="13" spans="1:3" ht="22.5">
      <c r="A13" s="174"/>
      <c r="B13" s="175"/>
      <c r="C13" s="10" t="s">
        <v>46</v>
      </c>
    </row>
    <row r="16" spans="1:3" ht="15.75" thickBot="1"/>
    <row r="17" spans="20:28" ht="52.5" thickBot="1">
      <c r="T17" s="11" t="s">
        <v>47</v>
      </c>
      <c r="U17" s="11" t="s">
        <v>48</v>
      </c>
      <c r="V17" s="11" t="s">
        <v>49</v>
      </c>
      <c r="W17" s="11" t="s">
        <v>50</v>
      </c>
      <c r="X17" s="2"/>
      <c r="Y17" s="2"/>
      <c r="Z17" s="12">
        <v>1</v>
      </c>
      <c r="AA17" s="13" t="s">
        <v>24</v>
      </c>
      <c r="AB17" s="14"/>
    </row>
    <row r="18" spans="20:28" ht="45.75" thickBot="1">
      <c r="T18" s="8" t="s">
        <v>51</v>
      </c>
      <c r="U18" s="8" t="s">
        <v>22</v>
      </c>
      <c r="V18" s="8" t="s">
        <v>29</v>
      </c>
      <c r="W18" s="15" t="s">
        <v>130</v>
      </c>
      <c r="X18" t="s">
        <v>127</v>
      </c>
      <c r="Z18" s="16">
        <v>2</v>
      </c>
      <c r="AA18" s="17" t="s">
        <v>12</v>
      </c>
      <c r="AB18" s="18"/>
    </row>
    <row r="19" spans="20:28" ht="52.5" thickBot="1">
      <c r="T19" s="8" t="s">
        <v>54</v>
      </c>
      <c r="U19" s="8" t="s">
        <v>9</v>
      </c>
      <c r="V19" s="8" t="s">
        <v>20</v>
      </c>
      <c r="W19" s="33" t="s">
        <v>128</v>
      </c>
      <c r="X19" t="s">
        <v>129</v>
      </c>
      <c r="Z19" s="16">
        <v>3</v>
      </c>
      <c r="AA19" s="17" t="s">
        <v>55</v>
      </c>
      <c r="AB19" s="19"/>
    </row>
    <row r="20" spans="20:28" ht="78" thickBot="1">
      <c r="T20" s="8" t="s">
        <v>56</v>
      </c>
      <c r="U20" s="8" t="s">
        <v>57</v>
      </c>
      <c r="V20" s="8" t="s">
        <v>17</v>
      </c>
      <c r="W20" s="4" t="s">
        <v>135</v>
      </c>
      <c r="X20" s="34" t="s">
        <v>136</v>
      </c>
      <c r="Z20" s="16">
        <v>4</v>
      </c>
      <c r="AA20" s="17" t="s">
        <v>58</v>
      </c>
      <c r="AB20" s="20"/>
    </row>
    <row r="21" spans="20:28" ht="52.5" thickBot="1">
      <c r="T21" s="8" t="s">
        <v>59</v>
      </c>
      <c r="U21" s="8" t="s">
        <v>14</v>
      </c>
      <c r="V21" s="8" t="s">
        <v>10</v>
      </c>
      <c r="W21" s="15" t="s">
        <v>21</v>
      </c>
      <c r="X21" t="s">
        <v>60</v>
      </c>
      <c r="Z21" s="16">
        <v>5</v>
      </c>
      <c r="AA21" s="17" t="s">
        <v>61</v>
      </c>
      <c r="AB21" s="21"/>
    </row>
    <row r="22" spans="20:28" ht="45">
      <c r="T22" s="8" t="s">
        <v>62</v>
      </c>
      <c r="U22" s="8" t="s">
        <v>63</v>
      </c>
      <c r="V22" s="8" t="s">
        <v>64</v>
      </c>
      <c r="W22" s="15" t="s">
        <v>28</v>
      </c>
      <c r="X22" t="s">
        <v>65</v>
      </c>
    </row>
    <row r="23" spans="20:28" ht="45">
      <c r="T23" s="8" t="s">
        <v>66</v>
      </c>
      <c r="U23" s="8" t="s">
        <v>132</v>
      </c>
      <c r="V23" s="8"/>
      <c r="W23" s="15" t="s">
        <v>125</v>
      </c>
      <c r="X23" t="s">
        <v>126</v>
      </c>
    </row>
    <row r="24" spans="20:28" ht="45">
      <c r="T24" s="8" t="s">
        <v>19</v>
      </c>
      <c r="U24" s="4" t="s">
        <v>133</v>
      </c>
      <c r="V24" s="8"/>
      <c r="W24" s="15" t="s">
        <v>27</v>
      </c>
      <c r="X24" t="s">
        <v>67</v>
      </c>
    </row>
    <row r="25" spans="20:28" ht="45">
      <c r="T25" s="8" t="s">
        <v>68</v>
      </c>
      <c r="U25" s="4" t="s">
        <v>134</v>
      </c>
      <c r="V25" s="8"/>
      <c r="W25" s="15" t="s">
        <v>7</v>
      </c>
      <c r="X25" t="s">
        <v>69</v>
      </c>
    </row>
    <row r="26" spans="20:28" ht="45">
      <c r="T26" s="7" t="s">
        <v>70</v>
      </c>
      <c r="U26" s="6"/>
      <c r="V26" s="6"/>
      <c r="W26" s="23" t="s">
        <v>74</v>
      </c>
      <c r="X26" s="5" t="s">
        <v>75</v>
      </c>
    </row>
    <row r="27" spans="20:28" ht="45">
      <c r="T27" s="7" t="s">
        <v>131</v>
      </c>
      <c r="U27" s="22"/>
      <c r="V27" s="22"/>
      <c r="W27" s="15" t="s">
        <v>25</v>
      </c>
      <c r="X27" t="s">
        <v>78</v>
      </c>
      <c r="Y27" s="5"/>
      <c r="Z27" s="5"/>
      <c r="AA27" s="5"/>
      <c r="AB27" s="5"/>
    </row>
    <row r="28" spans="20:28" ht="45">
      <c r="T28" s="22" t="s">
        <v>73</v>
      </c>
      <c r="U28" s="22"/>
      <c r="V28" s="22"/>
      <c r="W28" s="15" t="s">
        <v>71</v>
      </c>
      <c r="X28" t="s">
        <v>72</v>
      </c>
      <c r="Y28" s="5"/>
      <c r="Z28" s="5"/>
      <c r="AA28" s="5"/>
      <c r="AB28" s="5"/>
    </row>
    <row r="29" spans="20:28" ht="45">
      <c r="T29" s="6"/>
      <c r="U29" s="6"/>
      <c r="V29" s="6"/>
      <c r="W29" s="15" t="s">
        <v>1</v>
      </c>
      <c r="X29" t="s">
        <v>81</v>
      </c>
    </row>
    <row r="30" spans="20:28" ht="45">
      <c r="T30" s="6"/>
      <c r="U30" s="6"/>
      <c r="V30" s="6"/>
      <c r="W30" s="15" t="s">
        <v>18</v>
      </c>
      <c r="X30" t="s">
        <v>79</v>
      </c>
    </row>
    <row r="31" spans="20:28" ht="30">
      <c r="T31" s="6"/>
      <c r="U31" s="6"/>
      <c r="V31" s="6"/>
      <c r="W31" s="15" t="s">
        <v>23</v>
      </c>
      <c r="X31" t="s">
        <v>80</v>
      </c>
    </row>
    <row r="32" spans="20:28" ht="45">
      <c r="T32" s="6"/>
      <c r="U32" s="6"/>
      <c r="V32" s="6"/>
      <c r="W32" s="15" t="s">
        <v>52</v>
      </c>
      <c r="X32" t="s">
        <v>53</v>
      </c>
    </row>
    <row r="33" spans="20:24" ht="45">
      <c r="T33" s="6"/>
      <c r="U33" s="6"/>
      <c r="V33" s="6"/>
      <c r="W33" s="23" t="s">
        <v>76</v>
      </c>
      <c r="X33" s="5" t="s">
        <v>77</v>
      </c>
    </row>
    <row r="34" spans="20:24">
      <c r="T34" s="6"/>
      <c r="U34" s="6"/>
      <c r="V34" s="6"/>
      <c r="W34" s="6"/>
    </row>
    <row r="35" spans="20:24" ht="30">
      <c r="T35" s="6"/>
      <c r="U35" s="6"/>
      <c r="V35" s="6"/>
      <c r="W35" s="23" t="s">
        <v>11</v>
      </c>
    </row>
    <row r="36" spans="20:24">
      <c r="T36" s="6"/>
      <c r="U36" s="6"/>
      <c r="V36" s="6"/>
      <c r="W36" s="23" t="s">
        <v>15</v>
      </c>
    </row>
  </sheetData>
  <mergeCells count="8">
    <mergeCell ref="A11:A13"/>
    <mergeCell ref="B11:B13"/>
    <mergeCell ref="A2:A4"/>
    <mergeCell ref="B2:B4"/>
    <mergeCell ref="A5:A7"/>
    <mergeCell ref="B5:B7"/>
    <mergeCell ref="A8:A10"/>
    <mergeCell ref="B8: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K23"/>
  <sheetViews>
    <sheetView zoomScale="85" zoomScaleNormal="85" workbookViewId="0">
      <selection activeCell="Q22" sqref="Q22"/>
    </sheetView>
  </sheetViews>
  <sheetFormatPr baseColWidth="10" defaultColWidth="10.7109375" defaultRowHeight="15"/>
  <cols>
    <col min="1" max="11" width="14" customWidth="1"/>
  </cols>
  <sheetData>
    <row r="1" spans="1:11">
      <c r="A1" t="s">
        <v>82</v>
      </c>
    </row>
    <row r="2" spans="1:11">
      <c r="A2" s="24" t="s">
        <v>83</v>
      </c>
      <c r="B2" s="191" t="s">
        <v>29</v>
      </c>
      <c r="C2" s="191" t="s">
        <v>84</v>
      </c>
      <c r="D2" s="194" t="s">
        <v>17</v>
      </c>
      <c r="E2" s="194" t="s">
        <v>10</v>
      </c>
      <c r="F2" s="194" t="s">
        <v>85</v>
      </c>
    </row>
    <row r="3" spans="1:11">
      <c r="A3" s="189" t="s">
        <v>86</v>
      </c>
      <c r="B3" s="192"/>
      <c r="C3" s="192" t="s">
        <v>87</v>
      </c>
      <c r="D3" s="195"/>
      <c r="E3" s="195"/>
      <c r="F3" s="195"/>
    </row>
    <row r="4" spans="1:11">
      <c r="A4" s="190"/>
      <c r="B4" s="193"/>
      <c r="C4" s="193"/>
      <c r="D4" s="196"/>
      <c r="E4" s="196"/>
      <c r="F4" s="196"/>
    </row>
    <row r="5" spans="1:11">
      <c r="A5" s="183" t="s">
        <v>88</v>
      </c>
      <c r="B5" s="185" t="s">
        <v>89</v>
      </c>
      <c r="C5" s="197" t="s">
        <v>90</v>
      </c>
      <c r="D5" s="185" t="s">
        <v>91</v>
      </c>
      <c r="E5" s="185" t="s">
        <v>92</v>
      </c>
      <c r="F5" s="185" t="s">
        <v>93</v>
      </c>
    </row>
    <row r="6" spans="1:11">
      <c r="A6" s="184"/>
      <c r="B6" s="185"/>
      <c r="C6" s="197"/>
      <c r="D6" s="185"/>
      <c r="E6" s="185"/>
      <c r="F6" s="185"/>
    </row>
    <row r="7" spans="1:11">
      <c r="A7" s="183" t="s">
        <v>94</v>
      </c>
      <c r="B7" s="185" t="s">
        <v>95</v>
      </c>
      <c r="C7" s="186" t="s">
        <v>96</v>
      </c>
      <c r="D7" s="185" t="s">
        <v>97</v>
      </c>
      <c r="E7" s="185" t="s">
        <v>98</v>
      </c>
      <c r="F7" s="185" t="s">
        <v>99</v>
      </c>
    </row>
    <row r="8" spans="1:11">
      <c r="A8" s="184"/>
      <c r="B8" s="185"/>
      <c r="C8" s="186"/>
      <c r="D8" s="185"/>
      <c r="E8" s="185"/>
      <c r="F8" s="185"/>
    </row>
    <row r="9" spans="1:11">
      <c r="A9" s="183" t="s">
        <v>100</v>
      </c>
      <c r="B9" s="185" t="s">
        <v>101</v>
      </c>
      <c r="C9" s="186" t="s">
        <v>102</v>
      </c>
      <c r="D9" s="185" t="s">
        <v>103</v>
      </c>
      <c r="E9" s="185" t="s">
        <v>104</v>
      </c>
      <c r="F9" s="187" t="s">
        <v>105</v>
      </c>
    </row>
    <row r="10" spans="1:11">
      <c r="A10" s="184"/>
      <c r="B10" s="185"/>
      <c r="C10" s="186"/>
      <c r="D10" s="185"/>
      <c r="E10" s="185"/>
      <c r="F10" s="188"/>
    </row>
    <row r="11" spans="1:11">
      <c r="A11" s="183" t="s">
        <v>106</v>
      </c>
      <c r="B11" s="185" t="s">
        <v>107</v>
      </c>
      <c r="C11" s="186" t="s">
        <v>108</v>
      </c>
      <c r="D11" s="185" t="s">
        <v>109</v>
      </c>
      <c r="E11" s="185" t="s">
        <v>110</v>
      </c>
      <c r="F11" s="185" t="s">
        <v>111</v>
      </c>
    </row>
    <row r="12" spans="1:11">
      <c r="A12" s="184"/>
      <c r="B12" s="185"/>
      <c r="C12" s="185"/>
      <c r="D12" s="185"/>
      <c r="E12" s="185"/>
      <c r="F12" s="185"/>
    </row>
    <row r="16" spans="1:11">
      <c r="A16" s="176" t="s">
        <v>4</v>
      </c>
      <c r="B16" s="31">
        <v>4</v>
      </c>
      <c r="C16" s="31" t="s">
        <v>43</v>
      </c>
      <c r="D16" s="25">
        <f>+$D$21*B16</f>
        <v>4</v>
      </c>
      <c r="E16" s="26">
        <f>+$E$21*B16</f>
        <v>8</v>
      </c>
      <c r="F16" s="27">
        <f>+$F$21*B16</f>
        <v>12</v>
      </c>
      <c r="G16" s="27">
        <f>+$G$21*D16</f>
        <v>16</v>
      </c>
      <c r="H16" s="27">
        <v>16</v>
      </c>
      <c r="I16" s="27">
        <v>12</v>
      </c>
      <c r="J16" s="26">
        <v>8</v>
      </c>
      <c r="K16" s="25">
        <v>4</v>
      </c>
    </row>
    <row r="17" spans="1:11">
      <c r="A17" s="177"/>
      <c r="B17" s="31">
        <v>3</v>
      </c>
      <c r="C17" s="28" t="s">
        <v>39</v>
      </c>
      <c r="D17" s="25">
        <f>+$D$21*B17</f>
        <v>3</v>
      </c>
      <c r="E17" s="26">
        <f>+$E$21*B17</f>
        <v>6</v>
      </c>
      <c r="F17" s="26">
        <f>+$F$21*B17</f>
        <v>9</v>
      </c>
      <c r="G17" s="27">
        <f>+$G$21*D17</f>
        <v>12</v>
      </c>
      <c r="H17" s="27">
        <v>12</v>
      </c>
      <c r="I17" s="26">
        <v>9</v>
      </c>
      <c r="J17" s="26">
        <v>6</v>
      </c>
      <c r="K17" s="25">
        <v>3</v>
      </c>
    </row>
    <row r="18" spans="1:11">
      <c r="A18" s="177"/>
      <c r="B18" s="31">
        <v>2</v>
      </c>
      <c r="C18" s="31" t="s">
        <v>35</v>
      </c>
      <c r="D18" s="29">
        <f>+$D$21*B18</f>
        <v>2</v>
      </c>
      <c r="E18" s="25">
        <f>+$E$21*B18</f>
        <v>4</v>
      </c>
      <c r="F18" s="26">
        <f>+$F$21*B18</f>
        <v>6</v>
      </c>
      <c r="G18" s="26">
        <f>+$G$21*D18</f>
        <v>8</v>
      </c>
      <c r="H18" s="26">
        <v>8</v>
      </c>
      <c r="I18" s="26">
        <v>6</v>
      </c>
      <c r="J18" s="25">
        <v>4</v>
      </c>
      <c r="K18" s="29">
        <v>2</v>
      </c>
    </row>
    <row r="19" spans="1:11">
      <c r="A19" s="178"/>
      <c r="B19" s="31">
        <v>1</v>
      </c>
      <c r="C19" s="31" t="s">
        <v>31</v>
      </c>
      <c r="D19" s="29">
        <f>+$D$21*B19</f>
        <v>1</v>
      </c>
      <c r="E19" s="29">
        <f>+$E$21*B19</f>
        <v>2</v>
      </c>
      <c r="F19" s="25">
        <f>+$F$21*B19</f>
        <v>3</v>
      </c>
      <c r="G19" s="25">
        <f>+$G$21*D19</f>
        <v>4</v>
      </c>
      <c r="H19" s="25">
        <v>4</v>
      </c>
      <c r="I19" s="25">
        <v>3</v>
      </c>
      <c r="J19" s="29">
        <v>2</v>
      </c>
      <c r="K19" s="29">
        <v>1</v>
      </c>
    </row>
    <row r="20" spans="1:11">
      <c r="D20" s="1" t="s">
        <v>112</v>
      </c>
      <c r="E20" s="1" t="s">
        <v>113</v>
      </c>
      <c r="F20" s="1" t="s">
        <v>114</v>
      </c>
      <c r="G20" s="1" t="s">
        <v>115</v>
      </c>
      <c r="H20" s="1" t="s">
        <v>115</v>
      </c>
      <c r="I20" s="1" t="s">
        <v>114</v>
      </c>
      <c r="J20" s="1" t="s">
        <v>113</v>
      </c>
      <c r="K20" s="1" t="s">
        <v>112</v>
      </c>
    </row>
    <row r="21" spans="1:11">
      <c r="D21" s="1">
        <v>1</v>
      </c>
      <c r="E21" s="1">
        <v>2</v>
      </c>
      <c r="F21" s="1">
        <v>3</v>
      </c>
      <c r="G21" s="1">
        <v>4</v>
      </c>
      <c r="H21" s="1">
        <v>4</v>
      </c>
      <c r="I21" s="1">
        <v>3</v>
      </c>
      <c r="J21" s="1">
        <v>2</v>
      </c>
      <c r="K21" s="1">
        <v>1</v>
      </c>
    </row>
    <row r="22" spans="1:11">
      <c r="D22" s="179" t="s">
        <v>116</v>
      </c>
      <c r="E22" s="180"/>
      <c r="F22" s="180"/>
      <c r="G22" s="181"/>
      <c r="H22" s="179" t="s">
        <v>117</v>
      </c>
      <c r="I22" s="180"/>
      <c r="J22" s="180"/>
      <c r="K22" s="180"/>
    </row>
    <row r="23" spans="1:11">
      <c r="D23" s="182" t="s">
        <v>0</v>
      </c>
      <c r="E23" s="182"/>
      <c r="F23" s="182"/>
      <c r="G23" s="182"/>
      <c r="H23" s="182"/>
      <c r="I23" s="182"/>
      <c r="J23" s="182"/>
      <c r="K23" s="182"/>
    </row>
  </sheetData>
  <mergeCells count="34">
    <mergeCell ref="A3:A4"/>
    <mergeCell ref="F5:F6"/>
    <mergeCell ref="B2:B4"/>
    <mergeCell ref="C2:C4"/>
    <mergeCell ref="D2:D4"/>
    <mergeCell ref="E2:E4"/>
    <mergeCell ref="F2:F4"/>
    <mergeCell ref="A5:A6"/>
    <mergeCell ref="B5:B6"/>
    <mergeCell ref="C5:C6"/>
    <mergeCell ref="D5:D6"/>
    <mergeCell ref="E5:E6"/>
    <mergeCell ref="F9:F10"/>
    <mergeCell ref="A7:A8"/>
    <mergeCell ref="B7:B8"/>
    <mergeCell ref="C7:C8"/>
    <mergeCell ref="D7:D8"/>
    <mergeCell ref="E7:E8"/>
    <mergeCell ref="F7:F8"/>
    <mergeCell ref="A9:A10"/>
    <mergeCell ref="B9:B10"/>
    <mergeCell ref="C9:C10"/>
    <mergeCell ref="D9:D10"/>
    <mergeCell ref="E9:E10"/>
    <mergeCell ref="A16:A19"/>
    <mergeCell ref="D22:G22"/>
    <mergeCell ref="H22:K22"/>
    <mergeCell ref="D23:K23"/>
    <mergeCell ref="A11:A12"/>
    <mergeCell ref="B11:B12"/>
    <mergeCell ref="C11:C12"/>
    <mergeCell ref="D11:D12"/>
    <mergeCell ref="E11:E12"/>
    <mergeCell ref="F11:F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J11"/>
  <sheetViews>
    <sheetView workbookViewId="0">
      <selection activeCell="Q22" sqref="Q22"/>
    </sheetView>
  </sheetViews>
  <sheetFormatPr baseColWidth="10" defaultColWidth="10.7109375" defaultRowHeight="15"/>
  <cols>
    <col min="1" max="1" width="24.7109375" customWidth="1"/>
    <col min="2" max="2" width="30.85546875" customWidth="1"/>
    <col min="3" max="3" width="15.42578125" customWidth="1"/>
    <col min="4" max="4" width="7.140625" customWidth="1"/>
    <col min="5" max="5" width="15.42578125" customWidth="1"/>
    <col min="6" max="6" width="12.28515625" customWidth="1"/>
    <col min="7" max="7" width="17.85546875" customWidth="1"/>
    <col min="8" max="8" width="11" customWidth="1"/>
    <col min="9" max="9" width="8.5703125" bestFit="1" customWidth="1"/>
    <col min="10" max="10" width="12.5703125" bestFit="1" customWidth="1"/>
  </cols>
  <sheetData>
    <row r="1" spans="1:10">
      <c r="A1" s="32" t="s">
        <v>3</v>
      </c>
      <c r="B1" t="s">
        <v>118</v>
      </c>
    </row>
    <row r="2" spans="1:10">
      <c r="A2" s="32" t="s">
        <v>5</v>
      </c>
      <c r="B2" t="s">
        <v>118</v>
      </c>
    </row>
    <row r="4" spans="1:10">
      <c r="A4" s="32" t="s">
        <v>119</v>
      </c>
      <c r="B4" s="32" t="s">
        <v>120</v>
      </c>
    </row>
    <row r="5" spans="1:10">
      <c r="A5" s="32" t="s">
        <v>121</v>
      </c>
      <c r="B5" t="s">
        <v>26</v>
      </c>
      <c r="C5" t="s">
        <v>19</v>
      </c>
      <c r="D5" t="s">
        <v>16</v>
      </c>
      <c r="E5" t="s">
        <v>13</v>
      </c>
      <c r="F5" t="s">
        <v>6</v>
      </c>
      <c r="G5" t="s">
        <v>8</v>
      </c>
      <c r="H5" t="s">
        <v>122</v>
      </c>
      <c r="I5" t="s">
        <v>124</v>
      </c>
      <c r="J5" t="s">
        <v>123</v>
      </c>
    </row>
    <row r="6" spans="1:10">
      <c r="A6" s="3" t="s">
        <v>20</v>
      </c>
      <c r="B6" s="30">
        <v>2</v>
      </c>
      <c r="C6" s="30">
        <v>3</v>
      </c>
      <c r="D6" s="30">
        <v>1</v>
      </c>
      <c r="E6" s="30"/>
      <c r="F6" s="30">
        <v>3</v>
      </c>
      <c r="G6" s="30"/>
      <c r="H6" s="30"/>
      <c r="I6" s="30"/>
      <c r="J6" s="30">
        <v>9</v>
      </c>
    </row>
    <row r="7" spans="1:10">
      <c r="A7" s="3" t="s">
        <v>29</v>
      </c>
      <c r="B7" s="30"/>
      <c r="C7" s="30"/>
      <c r="D7" s="30">
        <v>1</v>
      </c>
      <c r="E7" s="30"/>
      <c r="F7" s="30"/>
      <c r="G7" s="30"/>
      <c r="H7" s="30"/>
      <c r="I7" s="30"/>
      <c r="J7" s="30">
        <v>1</v>
      </c>
    </row>
    <row r="8" spans="1:10">
      <c r="A8" s="3" t="s">
        <v>17</v>
      </c>
      <c r="B8" s="30"/>
      <c r="C8" s="30">
        <v>1</v>
      </c>
      <c r="D8" s="30">
        <v>4</v>
      </c>
      <c r="E8" s="30"/>
      <c r="F8" s="30"/>
      <c r="G8" s="30"/>
      <c r="H8" s="30"/>
      <c r="I8" s="30">
        <v>1</v>
      </c>
      <c r="J8" s="30">
        <v>6</v>
      </c>
    </row>
    <row r="9" spans="1:10">
      <c r="A9" s="3" t="s">
        <v>10</v>
      </c>
      <c r="B9" s="30">
        <v>1</v>
      </c>
      <c r="C9" s="30">
        <v>2</v>
      </c>
      <c r="D9" s="30"/>
      <c r="E9" s="30">
        <v>1</v>
      </c>
      <c r="F9" s="30"/>
      <c r="G9" s="30">
        <v>2</v>
      </c>
      <c r="H9" s="30"/>
      <c r="I9" s="30"/>
      <c r="J9" s="30">
        <v>6</v>
      </c>
    </row>
    <row r="10" spans="1:10">
      <c r="A10" s="3" t="s">
        <v>122</v>
      </c>
      <c r="B10" s="30"/>
      <c r="C10" s="30"/>
      <c r="D10" s="30"/>
      <c r="E10" s="30"/>
      <c r="F10" s="30"/>
      <c r="G10" s="30"/>
      <c r="H10" s="30"/>
      <c r="I10" s="30"/>
      <c r="J10" s="30"/>
    </row>
    <row r="11" spans="1:10">
      <c r="A11" s="3" t="s">
        <v>123</v>
      </c>
      <c r="B11" s="30">
        <v>3</v>
      </c>
      <c r="C11" s="30">
        <v>6</v>
      </c>
      <c r="D11" s="30">
        <v>6</v>
      </c>
      <c r="E11" s="30">
        <v>1</v>
      </c>
      <c r="F11" s="30">
        <v>3</v>
      </c>
      <c r="G11" s="30">
        <v>2</v>
      </c>
      <c r="H11" s="30"/>
      <c r="I11" s="30">
        <v>1</v>
      </c>
      <c r="J11" s="30">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outlinePr summaryBelow="0" summaryRight="0"/>
    <pageSetUpPr fitToPage="1"/>
  </sheetPr>
  <dimension ref="A1:H156"/>
  <sheetViews>
    <sheetView showGridLines="0" zoomScale="80" zoomScaleNormal="80" workbookViewId="0">
      <pane xSplit="2" ySplit="3" topLeftCell="C4" activePane="bottomRight" state="frozen"/>
      <selection pane="topRight" activeCell="C1" sqref="C1"/>
      <selection pane="bottomLeft" activeCell="A5" sqref="A5"/>
      <selection pane="bottomRight" activeCell="B5" sqref="B5"/>
    </sheetView>
  </sheetViews>
  <sheetFormatPr baseColWidth="10" defaultColWidth="11.42578125" defaultRowHeight="14.25"/>
  <cols>
    <col min="1" max="1" width="9.5703125" style="71" customWidth="1"/>
    <col min="2" max="2" width="70.28515625" style="61" customWidth="1"/>
    <col min="3" max="3" width="9" style="79" bestFit="1" customWidth="1"/>
    <col min="4" max="4" width="11" style="80" customWidth="1"/>
    <col min="5" max="5" width="14.7109375" style="71" customWidth="1"/>
    <col min="6" max="6" width="22.5703125" style="71" customWidth="1"/>
    <col min="7" max="7" width="17.140625" style="79" customWidth="1"/>
    <col min="8" max="8" width="15.42578125" style="141" customWidth="1"/>
    <col min="9" max="10" width="11.42578125" style="38"/>
    <col min="11" max="11" width="13.85546875" style="38" bestFit="1" customWidth="1"/>
    <col min="12" max="16384" width="11.42578125" style="38"/>
  </cols>
  <sheetData>
    <row r="1" spans="1:8" s="35" customFormat="1">
      <c r="B1" s="36"/>
      <c r="C1" s="37"/>
      <c r="D1" s="37"/>
      <c r="E1" s="37"/>
      <c r="F1" s="37"/>
      <c r="G1" s="37"/>
      <c r="H1" s="130"/>
    </row>
    <row r="2" spans="1:8" s="35" customFormat="1">
      <c r="B2" s="36"/>
      <c r="C2" s="37"/>
      <c r="D2" s="37"/>
      <c r="E2" s="37"/>
      <c r="F2" s="37"/>
      <c r="G2" s="37"/>
      <c r="H2" s="130"/>
    </row>
    <row r="3" spans="1:8" s="40" customFormat="1" ht="15">
      <c r="A3" s="39" t="s">
        <v>167</v>
      </c>
      <c r="B3" s="39" t="s">
        <v>168</v>
      </c>
      <c r="C3" s="39" t="s">
        <v>164</v>
      </c>
      <c r="D3" s="39" t="s">
        <v>2</v>
      </c>
      <c r="E3" s="39" t="s">
        <v>163</v>
      </c>
      <c r="F3" s="39" t="s">
        <v>162</v>
      </c>
      <c r="G3" s="39" t="s">
        <v>161</v>
      </c>
      <c r="H3" s="131" t="s">
        <v>137</v>
      </c>
    </row>
    <row r="4" spans="1:8" ht="15">
      <c r="A4" s="142">
        <v>1</v>
      </c>
      <c r="B4" s="143" t="s">
        <v>602</v>
      </c>
      <c r="C4" s="144"/>
      <c r="D4" s="145"/>
      <c r="E4" s="146"/>
      <c r="F4" s="147">
        <f>SUM(F5)</f>
        <v>1800000</v>
      </c>
      <c r="G4" s="148">
        <f>SUM(G5)</f>
        <v>4.0974591040884821E-3</v>
      </c>
      <c r="H4" s="149"/>
    </row>
    <row r="5" spans="1:8" ht="85.5">
      <c r="A5" s="46" t="s">
        <v>191</v>
      </c>
      <c r="B5" s="172" t="s">
        <v>198</v>
      </c>
      <c r="C5" s="46" t="s">
        <v>189</v>
      </c>
      <c r="D5" s="47">
        <v>60</v>
      </c>
      <c r="E5" s="48">
        <v>30000</v>
      </c>
      <c r="F5" s="48">
        <f>E5*D5</f>
        <v>1800000</v>
      </c>
      <c r="G5" s="49">
        <f>F5/$F$141</f>
        <v>4.0974591040884821E-3</v>
      </c>
      <c r="H5" s="133"/>
    </row>
    <row r="6" spans="1:8" ht="15">
      <c r="A6" s="142">
        <v>2</v>
      </c>
      <c r="B6" s="143" t="s">
        <v>601</v>
      </c>
      <c r="C6" s="144"/>
      <c r="D6" s="145"/>
      <c r="E6" s="146"/>
      <c r="F6" s="147">
        <f>SUM(F7:F7)</f>
        <v>90000</v>
      </c>
      <c r="G6" s="148">
        <f>SUM(G7:G7)</f>
        <v>2.0487295520442412E-4</v>
      </c>
      <c r="H6" s="149"/>
    </row>
    <row r="7" spans="1:8" ht="57">
      <c r="A7" s="46" t="s">
        <v>160</v>
      </c>
      <c r="B7" s="172" t="s">
        <v>176</v>
      </c>
      <c r="C7" s="46" t="s">
        <v>185</v>
      </c>
      <c r="D7" s="51">
        <v>3</v>
      </c>
      <c r="E7" s="48">
        <v>30000</v>
      </c>
      <c r="F7" s="48">
        <f t="shared" ref="F7" si="0">E7*D7</f>
        <v>90000</v>
      </c>
      <c r="G7" s="49">
        <f>F7/$F$141</f>
        <v>2.0487295520442412E-4</v>
      </c>
      <c r="H7" s="133"/>
    </row>
    <row r="8" spans="1:8" ht="15">
      <c r="A8" s="142">
        <v>3</v>
      </c>
      <c r="B8" s="143" t="s">
        <v>600</v>
      </c>
      <c r="C8" s="144"/>
      <c r="D8" s="145"/>
      <c r="E8" s="146"/>
      <c r="F8" s="147">
        <f>SUM(F9:F11)</f>
        <v>1921000</v>
      </c>
      <c r="G8" s="148">
        <f>SUM(G9:G11)</f>
        <v>4.3728994105299863E-3</v>
      </c>
      <c r="H8" s="149"/>
    </row>
    <row r="9" spans="1:8" ht="114" customHeight="1">
      <c r="A9" s="46" t="s">
        <v>159</v>
      </c>
      <c r="B9" s="172" t="s">
        <v>642</v>
      </c>
      <c r="C9" s="46" t="s">
        <v>186</v>
      </c>
      <c r="D9" s="51">
        <v>47</v>
      </c>
      <c r="E9" s="48">
        <v>30000</v>
      </c>
      <c r="F9" s="48">
        <f>E9*D9</f>
        <v>1410000</v>
      </c>
      <c r="G9" s="49">
        <f>F9/$F$141</f>
        <v>3.2096762982026447E-3</v>
      </c>
      <c r="H9" s="133"/>
    </row>
    <row r="10" spans="1:8" ht="99.75">
      <c r="A10" s="46" t="s">
        <v>158</v>
      </c>
      <c r="B10" s="172" t="s">
        <v>643</v>
      </c>
      <c r="C10" s="46" t="s">
        <v>189</v>
      </c>
      <c r="D10" s="51">
        <f>5.22*2</f>
        <v>10.44</v>
      </c>
      <c r="E10" s="48">
        <v>25000</v>
      </c>
      <c r="F10" s="48">
        <f>E10*D10</f>
        <v>261000</v>
      </c>
      <c r="G10" s="49">
        <f>F10/$F$141</f>
        <v>5.9413157009282995E-4</v>
      </c>
      <c r="H10" s="133"/>
    </row>
    <row r="11" spans="1:8" ht="99.75">
      <c r="A11" s="46" t="s">
        <v>157</v>
      </c>
      <c r="B11" s="172" t="s">
        <v>644</v>
      </c>
      <c r="C11" s="46" t="s">
        <v>186</v>
      </c>
      <c r="D11" s="51">
        <v>10</v>
      </c>
      <c r="E11" s="48">
        <v>25000</v>
      </c>
      <c r="F11" s="48">
        <f>E11*D11</f>
        <v>250000</v>
      </c>
      <c r="G11" s="49">
        <f>F11/$F$141</f>
        <v>5.690915422345115E-4</v>
      </c>
      <c r="H11" s="133"/>
    </row>
    <row r="12" spans="1:8" ht="15">
      <c r="A12" s="142">
        <v>4</v>
      </c>
      <c r="B12" s="143" t="s">
        <v>599</v>
      </c>
      <c r="C12" s="144"/>
      <c r="D12" s="145"/>
      <c r="E12" s="146"/>
      <c r="F12" s="147">
        <f>SUM(F13:F13)</f>
        <v>3583999.9999999995</v>
      </c>
      <c r="G12" s="148">
        <f>SUM(G13:G13)</f>
        <v>8.1584963494739544E-3</v>
      </c>
      <c r="H12" s="149"/>
    </row>
    <row r="13" spans="1:8" ht="78.75" customHeight="1">
      <c r="A13" s="46" t="s">
        <v>156</v>
      </c>
      <c r="B13" s="172" t="s">
        <v>645</v>
      </c>
      <c r="C13" s="46" t="s">
        <v>188</v>
      </c>
      <c r="D13" s="51">
        <f>89.6*0.4</f>
        <v>35.839999999999996</v>
      </c>
      <c r="E13" s="48">
        <v>100000</v>
      </c>
      <c r="F13" s="48">
        <f>E13*D13</f>
        <v>3583999.9999999995</v>
      </c>
      <c r="G13" s="49">
        <f>F13/$F$141</f>
        <v>8.1584963494739544E-3</v>
      </c>
      <c r="H13" s="133"/>
    </row>
    <row r="14" spans="1:8" s="89" customFormat="1" ht="15">
      <c r="A14" s="142">
        <v>5</v>
      </c>
      <c r="B14" s="143" t="s">
        <v>598</v>
      </c>
      <c r="C14" s="144"/>
      <c r="D14" s="145"/>
      <c r="E14" s="146"/>
      <c r="F14" s="147">
        <f>SUM(F15:F16)</f>
        <v>4025599.9999999995</v>
      </c>
      <c r="G14" s="148">
        <f>SUM(G15:G16)</f>
        <v>9.1637396496769968E-3</v>
      </c>
      <c r="H14" s="149"/>
    </row>
    <row r="15" spans="1:8" ht="71.25">
      <c r="A15" s="46" t="s">
        <v>155</v>
      </c>
      <c r="B15" s="172" t="s">
        <v>646</v>
      </c>
      <c r="C15" s="46" t="s">
        <v>188</v>
      </c>
      <c r="D15" s="51">
        <f>89.6*0.4</f>
        <v>35.839999999999996</v>
      </c>
      <c r="E15" s="48">
        <v>90000</v>
      </c>
      <c r="F15" s="48">
        <f t="shared" ref="F15:F16" si="1">E15*D15</f>
        <v>3225599.9999999995</v>
      </c>
      <c r="G15" s="49">
        <f>F15/$F$141</f>
        <v>7.3426467145265599E-3</v>
      </c>
      <c r="H15" s="133"/>
    </row>
    <row r="16" spans="1:8" ht="57">
      <c r="A16" s="46" t="s">
        <v>172</v>
      </c>
      <c r="B16" s="172" t="s">
        <v>647</v>
      </c>
      <c r="C16" s="46" t="s">
        <v>188</v>
      </c>
      <c r="D16" s="51">
        <v>10</v>
      </c>
      <c r="E16" s="48">
        <v>80000</v>
      </c>
      <c r="F16" s="48">
        <f t="shared" si="1"/>
        <v>800000</v>
      </c>
      <c r="G16" s="49">
        <f>F16/$F$141</f>
        <v>1.8210929351504368E-3</v>
      </c>
      <c r="H16" s="133"/>
    </row>
    <row r="17" spans="1:8" ht="15">
      <c r="A17" s="142">
        <v>6</v>
      </c>
      <c r="B17" s="143" t="s">
        <v>597</v>
      </c>
      <c r="C17" s="144"/>
      <c r="D17" s="145"/>
      <c r="E17" s="146"/>
      <c r="F17" s="147">
        <f>SUM(F18:F26)</f>
        <v>26315718</v>
      </c>
      <c r="G17" s="148">
        <f>SUM(G18:G26)</f>
        <v>5.9904210166513976E-2</v>
      </c>
      <c r="H17" s="149"/>
    </row>
    <row r="18" spans="1:8" ht="71.25">
      <c r="A18" s="46" t="s">
        <v>154</v>
      </c>
      <c r="B18" s="172" t="s">
        <v>648</v>
      </c>
      <c r="C18" s="46" t="s">
        <v>188</v>
      </c>
      <c r="D18" s="51">
        <f>8.37*1.05</f>
        <v>8.7884999999999991</v>
      </c>
      <c r="E18" s="48">
        <v>500000</v>
      </c>
      <c r="F18" s="48">
        <f t="shared" ref="F18:F20" si="2">E18*D18</f>
        <v>4394250</v>
      </c>
      <c r="G18" s="49">
        <f t="shared" ref="G18:G26" si="3">F18/$F$141</f>
        <v>1.0002922037856007E-2</v>
      </c>
      <c r="H18" s="133"/>
    </row>
    <row r="19" spans="1:8" ht="85.5">
      <c r="A19" s="46" t="s">
        <v>153</v>
      </c>
      <c r="B19" s="172" t="s">
        <v>649</v>
      </c>
      <c r="C19" s="46" t="s">
        <v>188</v>
      </c>
      <c r="D19" s="51">
        <f>2.2*1.05</f>
        <v>2.3100000000000005</v>
      </c>
      <c r="E19" s="48">
        <v>550000</v>
      </c>
      <c r="F19" s="48">
        <f t="shared" si="2"/>
        <v>1270500.0000000002</v>
      </c>
      <c r="G19" s="49">
        <f t="shared" si="3"/>
        <v>2.8921232176357878E-3</v>
      </c>
      <c r="H19" s="133"/>
    </row>
    <row r="20" spans="1:8" ht="86.25" customHeight="1">
      <c r="A20" s="46" t="s">
        <v>177</v>
      </c>
      <c r="B20" s="172" t="s">
        <v>650</v>
      </c>
      <c r="C20" s="46" t="s">
        <v>188</v>
      </c>
      <c r="D20" s="51">
        <f>(((15.44+7.89)*0.1)*1.05)+3.5</f>
        <v>5.9496500000000001</v>
      </c>
      <c r="E20" s="48">
        <v>520000</v>
      </c>
      <c r="F20" s="48">
        <f t="shared" si="2"/>
        <v>3093818</v>
      </c>
      <c r="G20" s="49">
        <f t="shared" si="3"/>
        <v>7.0426626280515672E-3</v>
      </c>
      <c r="H20" s="133"/>
    </row>
    <row r="21" spans="1:8" ht="89.25" customHeight="1">
      <c r="A21" s="46" t="s">
        <v>224</v>
      </c>
      <c r="B21" s="172" t="s">
        <v>651</v>
      </c>
      <c r="C21" s="46" t="s">
        <v>188</v>
      </c>
      <c r="D21" s="51">
        <f>0.3*1.05</f>
        <v>0.315</v>
      </c>
      <c r="E21" s="48">
        <v>550000</v>
      </c>
      <c r="F21" s="48">
        <f t="shared" ref="F21:F26" si="4">E21*D21</f>
        <v>173250</v>
      </c>
      <c r="G21" s="49">
        <f t="shared" si="3"/>
        <v>3.9438043876851642E-4</v>
      </c>
      <c r="H21" s="133"/>
    </row>
    <row r="22" spans="1:8" ht="100.5" customHeight="1">
      <c r="A22" s="46" t="s">
        <v>225</v>
      </c>
      <c r="B22" s="172" t="s">
        <v>652</v>
      </c>
      <c r="C22" s="46" t="s">
        <v>188</v>
      </c>
      <c r="D22" s="51">
        <f>4*1.05</f>
        <v>4.2</v>
      </c>
      <c r="E22" s="48">
        <v>600000</v>
      </c>
      <c r="F22" s="48">
        <f t="shared" si="4"/>
        <v>2520000</v>
      </c>
      <c r="G22" s="49">
        <f t="shared" si="3"/>
        <v>5.7364427457238755E-3</v>
      </c>
      <c r="H22" s="133"/>
    </row>
    <row r="23" spans="1:8" ht="99" customHeight="1">
      <c r="A23" s="46" t="s">
        <v>226</v>
      </c>
      <c r="B23" s="172" t="s">
        <v>653</v>
      </c>
      <c r="C23" s="46" t="s">
        <v>185</v>
      </c>
      <c r="D23" s="51">
        <f>15*1.05</f>
        <v>15.75</v>
      </c>
      <c r="E23" s="48">
        <v>25000</v>
      </c>
      <c r="F23" s="48">
        <f t="shared" si="4"/>
        <v>393750</v>
      </c>
      <c r="G23" s="49">
        <f t="shared" si="3"/>
        <v>8.9631917901935557E-4</v>
      </c>
      <c r="H23" s="133"/>
    </row>
    <row r="24" spans="1:8" ht="85.5">
      <c r="A24" s="46" t="s">
        <v>227</v>
      </c>
      <c r="B24" s="172" t="s">
        <v>654</v>
      </c>
      <c r="C24" s="46" t="s">
        <v>189</v>
      </c>
      <c r="D24" s="51">
        <f>(15.04+2.4+2.4)*1.05</f>
        <v>20.831999999999997</v>
      </c>
      <c r="E24" s="48">
        <v>175000</v>
      </c>
      <c r="F24" s="48">
        <f t="shared" si="4"/>
        <v>3645599.9999999995</v>
      </c>
      <c r="G24" s="49">
        <f t="shared" si="3"/>
        <v>8.2987205054805384E-3</v>
      </c>
      <c r="H24" s="133"/>
    </row>
    <row r="25" spans="1:8" ht="85.5">
      <c r="A25" s="46" t="s">
        <v>228</v>
      </c>
      <c r="B25" s="172" t="s">
        <v>655</v>
      </c>
      <c r="C25" s="46" t="s">
        <v>189</v>
      </c>
      <c r="D25" s="51">
        <v>16.3</v>
      </c>
      <c r="E25" s="48">
        <v>203500</v>
      </c>
      <c r="F25" s="48">
        <f t="shared" ref="F25" si="5">E25*D25</f>
        <v>3317050</v>
      </c>
      <c r="G25" s="49">
        <f t="shared" si="3"/>
        <v>7.5508204006759453E-3</v>
      </c>
      <c r="H25" s="133"/>
    </row>
    <row r="26" spans="1:8" ht="90.75" customHeight="1">
      <c r="A26" s="46" t="s">
        <v>639</v>
      </c>
      <c r="B26" s="172" t="s">
        <v>656</v>
      </c>
      <c r="C26" s="46" t="s">
        <v>188</v>
      </c>
      <c r="D26" s="51">
        <f>(130*0.1)*1.05</f>
        <v>13.65</v>
      </c>
      <c r="E26" s="48">
        <v>550000</v>
      </c>
      <c r="F26" s="48">
        <f t="shared" si="4"/>
        <v>7507500</v>
      </c>
      <c r="G26" s="49">
        <f t="shared" si="3"/>
        <v>1.7089819013302379E-2</v>
      </c>
      <c r="H26" s="133"/>
    </row>
    <row r="27" spans="1:8" ht="15">
      <c r="A27" s="142">
        <v>7</v>
      </c>
      <c r="B27" s="143" t="s">
        <v>596</v>
      </c>
      <c r="C27" s="144"/>
      <c r="D27" s="145"/>
      <c r="E27" s="146"/>
      <c r="F27" s="147">
        <f>SUM(F28:F29)</f>
        <v>92969005.5</v>
      </c>
      <c r="G27" s="148">
        <f>SUM(G28:G29)</f>
        <v>0.21163149888001509</v>
      </c>
      <c r="H27" s="149"/>
    </row>
    <row r="28" spans="1:8" ht="71.25">
      <c r="A28" s="46" t="s">
        <v>152</v>
      </c>
      <c r="B28" s="172" t="s">
        <v>657</v>
      </c>
      <c r="C28" s="46" t="s">
        <v>190</v>
      </c>
      <c r="D28" s="47">
        <f>(9454.6+341.37+585.63+101.42)*1.05</f>
        <v>11007.171</v>
      </c>
      <c r="E28" s="48">
        <v>8000</v>
      </c>
      <c r="F28" s="48">
        <f>E28*D28</f>
        <v>88057368</v>
      </c>
      <c r="G28" s="49">
        <f>F28/$F$141</f>
        <v>0.20045081344092766</v>
      </c>
      <c r="H28" s="133"/>
    </row>
    <row r="29" spans="1:8" ht="47.25" customHeight="1">
      <c r="A29" s="46" t="s">
        <v>151</v>
      </c>
      <c r="B29" s="172" t="s">
        <v>658</v>
      </c>
      <c r="C29" s="46" t="s">
        <v>186</v>
      </c>
      <c r="D29" s="47">
        <f>(85.05*2)*1.05</f>
        <v>178.60499999999999</v>
      </c>
      <c r="E29" s="48">
        <v>27500</v>
      </c>
      <c r="F29" s="48">
        <f t="shared" ref="F29" si="6">E29*D29</f>
        <v>4911637.5</v>
      </c>
      <c r="G29" s="49">
        <f>F29/$F$141</f>
        <v>1.1180685439087441E-2</v>
      </c>
      <c r="H29" s="133"/>
    </row>
    <row r="30" spans="1:8" ht="15">
      <c r="A30" s="142">
        <v>8</v>
      </c>
      <c r="B30" s="143" t="s">
        <v>595</v>
      </c>
      <c r="C30" s="144"/>
      <c r="D30" s="145"/>
      <c r="E30" s="146"/>
      <c r="F30" s="147">
        <f>SUM(F31:F34)</f>
        <v>32709558</v>
      </c>
      <c r="G30" s="148">
        <f>SUM(G31:G34)</f>
        <v>7.4458931232116804E-2</v>
      </c>
      <c r="H30" s="149"/>
    </row>
    <row r="31" spans="1:8" ht="85.5">
      <c r="A31" s="46" t="s">
        <v>150</v>
      </c>
      <c r="B31" s="172" t="s">
        <v>659</v>
      </c>
      <c r="C31" s="46" t="s">
        <v>186</v>
      </c>
      <c r="D31" s="51">
        <f>((((16.71+4.79+16.56+2.64+2.64+2.64+3.05)*0.6)+((2.05+2.05+2.16+2.16+4.2+4.2)*2.4)+(16.71+4.79+16.56+2.64+2.64+2.64+3.05)*3.4)+((2.05+2.05+2.16+2.16+4.2+4.2)*2.4))*1.05</f>
        <v>290.69880000000001</v>
      </c>
      <c r="E31" s="48">
        <v>85000</v>
      </c>
      <c r="F31" s="48">
        <f t="shared" ref="F31:F32" si="7">E31*D31</f>
        <v>24709398</v>
      </c>
      <c r="G31" s="49">
        <f>F31/$F$141</f>
        <v>5.624763766202541E-2</v>
      </c>
      <c r="H31" s="133"/>
    </row>
    <row r="32" spans="1:8" ht="85.5">
      <c r="A32" s="46" t="s">
        <v>149</v>
      </c>
      <c r="B32" s="172" t="s">
        <v>660</v>
      </c>
      <c r="C32" s="46" t="s">
        <v>186</v>
      </c>
      <c r="D32" s="51">
        <v>68.599999999999994</v>
      </c>
      <c r="E32" s="48">
        <v>90000</v>
      </c>
      <c r="F32" s="48">
        <f t="shared" si="7"/>
        <v>6173999.9999999991</v>
      </c>
      <c r="G32" s="49">
        <f>F32/$F$141</f>
        <v>1.4054284727023494E-2</v>
      </c>
      <c r="H32" s="133"/>
    </row>
    <row r="33" spans="1:8" ht="128.25">
      <c r="A33" s="46" t="s">
        <v>148</v>
      </c>
      <c r="B33" s="172" t="s">
        <v>661</v>
      </c>
      <c r="C33" s="46" t="s">
        <v>189</v>
      </c>
      <c r="D33" s="51">
        <f>20*1.05</f>
        <v>21</v>
      </c>
      <c r="E33" s="48">
        <v>10000</v>
      </c>
      <c r="F33" s="48">
        <f t="shared" ref="F33" si="8">E33*D33</f>
        <v>210000</v>
      </c>
      <c r="G33" s="49">
        <f>F33/$F$141</f>
        <v>4.7803689547698964E-4</v>
      </c>
      <c r="H33" s="133"/>
    </row>
    <row r="34" spans="1:8" ht="28.5">
      <c r="A34" s="46" t="s">
        <v>147</v>
      </c>
      <c r="B34" s="172" t="s">
        <v>221</v>
      </c>
      <c r="C34" s="46" t="s">
        <v>189</v>
      </c>
      <c r="D34" s="51">
        <f>(43.56-5.08)*1.05</f>
        <v>40.404000000000003</v>
      </c>
      <c r="E34" s="48">
        <v>40000</v>
      </c>
      <c r="F34" s="48">
        <f t="shared" ref="F34" si="9">E34*D34</f>
        <v>1616160.0000000002</v>
      </c>
      <c r="G34" s="49">
        <f>F34/$F$141</f>
        <v>3.6789719475909125E-3</v>
      </c>
      <c r="H34" s="133"/>
    </row>
    <row r="35" spans="1:8" ht="15">
      <c r="A35" s="142">
        <v>9</v>
      </c>
      <c r="B35" s="143" t="s">
        <v>594</v>
      </c>
      <c r="C35" s="144"/>
      <c r="D35" s="145"/>
      <c r="E35" s="146"/>
      <c r="F35" s="147">
        <f>SUM(F36:F41)</f>
        <v>27661175</v>
      </c>
      <c r="G35" s="148">
        <f>SUM(G36:G41)</f>
        <v>6.2966962963074857E-2</v>
      </c>
      <c r="H35" s="149"/>
    </row>
    <row r="36" spans="1:8" ht="42.75">
      <c r="A36" s="46" t="s">
        <v>146</v>
      </c>
      <c r="B36" s="172" t="s">
        <v>662</v>
      </c>
      <c r="C36" s="46" t="s">
        <v>186</v>
      </c>
      <c r="D36" s="47">
        <f>+((16.71+4.79+16.56+2.64+2.64+2.64+3.05)*3.4)+((2.05+2.05+2.16+2.16+4.2+4.2)*2.4)</f>
        <v>207.07</v>
      </c>
      <c r="E36" s="48">
        <v>25000</v>
      </c>
      <c r="F36" s="48">
        <f>E36*D36</f>
        <v>5176750</v>
      </c>
      <c r="G36" s="49">
        <f t="shared" ref="G36:G41" si="10">F36/$F$141</f>
        <v>1.1784178565050029E-2</v>
      </c>
      <c r="H36" s="133"/>
    </row>
    <row r="37" spans="1:8" ht="57">
      <c r="A37" s="46" t="s">
        <v>229</v>
      </c>
      <c r="B37" s="172" t="s">
        <v>663</v>
      </c>
      <c r="C37" s="46" t="s">
        <v>186</v>
      </c>
      <c r="D37" s="47">
        <f>((43.56-5.08)*3.4)+((2.05+2.05+2.16+2.16+4.2+4.2)*2.4)</f>
        <v>171.20000000000002</v>
      </c>
      <c r="E37" s="48">
        <v>30000</v>
      </c>
      <c r="F37" s="48">
        <f>E37*D37</f>
        <v>5136000.0000000009</v>
      </c>
      <c r="G37" s="49">
        <f t="shared" si="10"/>
        <v>1.1691416643665806E-2</v>
      </c>
      <c r="H37" s="133"/>
    </row>
    <row r="38" spans="1:8" ht="71.25">
      <c r="A38" s="46" t="s">
        <v>365</v>
      </c>
      <c r="B38" s="172" t="s">
        <v>664</v>
      </c>
      <c r="C38" s="46" t="s">
        <v>186</v>
      </c>
      <c r="D38" s="47">
        <f>+((16.71+4.79+16.56+2.64+2.64+2.64+3.05)*3.4)+((2.05+2.05+2.16+2.16+4.2+4.2)*2.4)</f>
        <v>207.07</v>
      </c>
      <c r="E38" s="48">
        <v>17500</v>
      </c>
      <c r="F38" s="48">
        <f>E38*D38</f>
        <v>3623725</v>
      </c>
      <c r="G38" s="49">
        <f t="shared" si="10"/>
        <v>8.2489249955350202E-3</v>
      </c>
      <c r="H38" s="133"/>
    </row>
    <row r="39" spans="1:8" ht="114">
      <c r="A39" s="46" t="s">
        <v>366</v>
      </c>
      <c r="B39" s="172" t="s">
        <v>222</v>
      </c>
      <c r="C39" s="46" t="s">
        <v>186</v>
      </c>
      <c r="D39" s="47">
        <f>+((16.71+4.79+16.56+2.64+2.64+2.64+3.05)*3.4)+((2.05+2.05+2.16+2.16+4.2+4.2)*2.4)</f>
        <v>207.07</v>
      </c>
      <c r="E39" s="48">
        <v>15000</v>
      </c>
      <c r="F39" s="48">
        <f t="shared" ref="F39" si="11">E39*D39</f>
        <v>3106050</v>
      </c>
      <c r="G39" s="49">
        <f t="shared" si="10"/>
        <v>7.0705071390300177E-3</v>
      </c>
      <c r="H39" s="133"/>
    </row>
    <row r="40" spans="1:8" ht="99.75">
      <c r="A40" s="46" t="s">
        <v>367</v>
      </c>
      <c r="B40" s="172" t="s">
        <v>276</v>
      </c>
      <c r="C40" s="46" t="s">
        <v>186</v>
      </c>
      <c r="D40" s="47">
        <f>((43.56-5.08)*3.4)+((2.05+2.05+2.16+2.16+4.2+4.2)*2.4)</f>
        <v>171.20000000000002</v>
      </c>
      <c r="E40" s="48">
        <v>22500</v>
      </c>
      <c r="F40" s="48">
        <f t="shared" ref="F40" si="12">E40*D40</f>
        <v>3852000.0000000005</v>
      </c>
      <c r="G40" s="49">
        <f t="shared" si="10"/>
        <v>8.7685624827493532E-3</v>
      </c>
      <c r="H40" s="133"/>
    </row>
    <row r="41" spans="1:8" ht="42.75">
      <c r="A41" s="46" t="s">
        <v>368</v>
      </c>
      <c r="B41" s="172" t="s">
        <v>665</v>
      </c>
      <c r="C41" s="46" t="s">
        <v>189</v>
      </c>
      <c r="D41" s="47">
        <f>107.29+9.34+6.4</f>
        <v>123.03000000000002</v>
      </c>
      <c r="E41" s="48">
        <v>55000</v>
      </c>
      <c r="F41" s="48">
        <f t="shared" ref="F41" si="13">E41*D41</f>
        <v>6766650.0000000009</v>
      </c>
      <c r="G41" s="49">
        <f t="shared" si="10"/>
        <v>1.5403373137044631E-2</v>
      </c>
      <c r="H41" s="133"/>
    </row>
    <row r="42" spans="1:8" ht="15">
      <c r="A42" s="142">
        <v>10</v>
      </c>
      <c r="B42" s="143" t="s">
        <v>593</v>
      </c>
      <c r="C42" s="144"/>
      <c r="D42" s="145"/>
      <c r="E42" s="146"/>
      <c r="F42" s="147">
        <f>SUM(F43:F48)</f>
        <v>35271875</v>
      </c>
      <c r="G42" s="148">
        <f>SUM(G43:G48)</f>
        <v>8.0291702965011619E-2</v>
      </c>
      <c r="H42" s="149"/>
    </row>
    <row r="43" spans="1:8" ht="85.5">
      <c r="A43" s="46" t="s">
        <v>145</v>
      </c>
      <c r="B43" s="172" t="s">
        <v>666</v>
      </c>
      <c r="C43" s="53" t="s">
        <v>186</v>
      </c>
      <c r="D43" s="47">
        <f>91.25+20.52</f>
        <v>111.77</v>
      </c>
      <c r="E43" s="48">
        <v>12500</v>
      </c>
      <c r="F43" s="48">
        <f t="shared" ref="F43:F50" si="14">E43*D43</f>
        <v>1397125</v>
      </c>
      <c r="G43" s="49">
        <f t="shared" ref="G43:G48" si="15">F43/$F$141</f>
        <v>3.1803680837775672E-3</v>
      </c>
      <c r="H43" s="133"/>
    </row>
    <row r="44" spans="1:8" ht="188.25" customHeight="1">
      <c r="A44" s="46" t="s">
        <v>351</v>
      </c>
      <c r="B44" s="172" t="s">
        <v>279</v>
      </c>
      <c r="C44" s="53" t="s">
        <v>186</v>
      </c>
      <c r="D44" s="47">
        <f>91.25+20.52</f>
        <v>111.77</v>
      </c>
      <c r="E44" s="48">
        <v>155000</v>
      </c>
      <c r="F44" s="48">
        <f t="shared" si="14"/>
        <v>17324350</v>
      </c>
      <c r="G44" s="49">
        <f t="shared" si="15"/>
        <v>3.9436564238841836E-2</v>
      </c>
      <c r="H44" s="133"/>
    </row>
    <row r="45" spans="1:8" ht="137.25" customHeight="1">
      <c r="A45" s="46" t="s">
        <v>352</v>
      </c>
      <c r="B45" s="172" t="s">
        <v>278</v>
      </c>
      <c r="C45" s="53" t="s">
        <v>189</v>
      </c>
      <c r="D45" s="47">
        <f>107.29+9.34+6.4</f>
        <v>123.03000000000002</v>
      </c>
      <c r="E45" s="48">
        <v>90000</v>
      </c>
      <c r="F45" s="48">
        <f t="shared" ref="F45" si="16">E45*D45</f>
        <v>11072700.000000002</v>
      </c>
      <c r="G45" s="49">
        <f t="shared" si="15"/>
        <v>2.5205519678800303E-2</v>
      </c>
      <c r="H45" s="133"/>
    </row>
    <row r="46" spans="1:8" ht="99.75">
      <c r="A46" s="46" t="s">
        <v>353</v>
      </c>
      <c r="B46" s="172" t="s">
        <v>641</v>
      </c>
      <c r="C46" s="53" t="s">
        <v>189</v>
      </c>
      <c r="D46" s="47">
        <v>11.8</v>
      </c>
      <c r="E46" s="48">
        <v>73500</v>
      </c>
      <c r="F46" s="48">
        <f t="shared" ref="F46" si="17">E46*D46</f>
        <v>867300</v>
      </c>
      <c r="G46" s="49">
        <f t="shared" ref="G46" si="18">F46/$F$141</f>
        <v>1.9742923783199673E-3</v>
      </c>
      <c r="H46" s="133"/>
    </row>
    <row r="47" spans="1:8" ht="85.5">
      <c r="A47" s="46" t="s">
        <v>354</v>
      </c>
      <c r="B47" s="172" t="s">
        <v>280</v>
      </c>
      <c r="C47" s="53" t="s">
        <v>186</v>
      </c>
      <c r="D47" s="47">
        <f>(8.18+4.1)*2</f>
        <v>24.56</v>
      </c>
      <c r="E47" s="48">
        <v>90000</v>
      </c>
      <c r="F47" s="48">
        <f t="shared" ref="F47" si="19">E47*D47</f>
        <v>2210400</v>
      </c>
      <c r="G47" s="49">
        <f t="shared" si="15"/>
        <v>5.0316797798206567E-3</v>
      </c>
      <c r="H47" s="133"/>
    </row>
    <row r="48" spans="1:8" ht="42.75">
      <c r="A48" s="46" t="s">
        <v>640</v>
      </c>
      <c r="B48" s="172" t="s">
        <v>636</v>
      </c>
      <c r="C48" s="53" t="s">
        <v>189</v>
      </c>
      <c r="D48" s="47">
        <f>4.8*2</f>
        <v>9.6</v>
      </c>
      <c r="E48" s="48">
        <v>250000</v>
      </c>
      <c r="F48" s="48">
        <f t="shared" ref="F48" si="20">E48*D48</f>
        <v>2400000</v>
      </c>
      <c r="G48" s="49">
        <f t="shared" si="15"/>
        <v>5.46327880545131E-3</v>
      </c>
      <c r="H48" s="133"/>
    </row>
    <row r="49" spans="1:8" ht="15">
      <c r="A49" s="142">
        <v>11</v>
      </c>
      <c r="B49" s="143" t="s">
        <v>592</v>
      </c>
      <c r="C49" s="144"/>
      <c r="D49" s="145"/>
      <c r="E49" s="146"/>
      <c r="F49" s="147">
        <f>SUM(F50:F62)</f>
        <v>41750000</v>
      </c>
      <c r="G49" s="148">
        <f>SUM(G50:G62)</f>
        <v>9.5038287553163403E-2</v>
      </c>
      <c r="H49" s="149"/>
    </row>
    <row r="50" spans="1:8">
      <c r="A50" s="46" t="s">
        <v>144</v>
      </c>
      <c r="B50" s="129" t="s">
        <v>568</v>
      </c>
      <c r="C50" s="46" t="s">
        <v>185</v>
      </c>
      <c r="D50" s="47">
        <v>3</v>
      </c>
      <c r="E50" s="48">
        <v>2492000</v>
      </c>
      <c r="F50" s="48">
        <f t="shared" si="14"/>
        <v>7476000</v>
      </c>
      <c r="G50" s="49">
        <f t="shared" ref="G50:G62" si="21">F50/$F$141</f>
        <v>1.7018113478980832E-2</v>
      </c>
      <c r="H50" s="133"/>
    </row>
    <row r="51" spans="1:8">
      <c r="A51" s="46" t="s">
        <v>143</v>
      </c>
      <c r="B51" s="129" t="s">
        <v>569</v>
      </c>
      <c r="C51" s="46" t="s">
        <v>185</v>
      </c>
      <c r="D51" s="47">
        <v>1</v>
      </c>
      <c r="E51" s="48">
        <v>2055000</v>
      </c>
      <c r="F51" s="48">
        <f t="shared" ref="F51:F62" si="22">E51*D51</f>
        <v>2055000</v>
      </c>
      <c r="G51" s="49">
        <f t="shared" si="21"/>
        <v>4.6779324771676839E-3</v>
      </c>
      <c r="H51" s="133"/>
    </row>
    <row r="52" spans="1:8">
      <c r="A52" s="46" t="s">
        <v>563</v>
      </c>
      <c r="B52" s="129" t="s">
        <v>667</v>
      </c>
      <c r="C52" s="46" t="s">
        <v>185</v>
      </c>
      <c r="D52" s="47">
        <v>1</v>
      </c>
      <c r="E52" s="48">
        <v>665000</v>
      </c>
      <c r="F52" s="48">
        <f t="shared" si="22"/>
        <v>665000</v>
      </c>
      <c r="G52" s="49">
        <f t="shared" si="21"/>
        <v>1.5137835023438006E-3</v>
      </c>
      <c r="H52" s="133"/>
    </row>
    <row r="53" spans="1:8">
      <c r="A53" s="46" t="s">
        <v>564</v>
      </c>
      <c r="B53" s="129" t="s">
        <v>668</v>
      </c>
      <c r="C53" s="46" t="s">
        <v>185</v>
      </c>
      <c r="D53" s="47">
        <v>2</v>
      </c>
      <c r="E53" s="48">
        <f>380000*1.15</f>
        <v>436999.99999999994</v>
      </c>
      <c r="F53" s="48">
        <f t="shared" si="22"/>
        <v>873999.99999999988</v>
      </c>
      <c r="G53" s="49">
        <f t="shared" si="21"/>
        <v>1.9895440316518519E-3</v>
      </c>
      <c r="H53" s="133"/>
    </row>
    <row r="54" spans="1:8">
      <c r="A54" s="46" t="s">
        <v>565</v>
      </c>
      <c r="B54" s="129" t="s">
        <v>669</v>
      </c>
      <c r="C54" s="46" t="s">
        <v>185</v>
      </c>
      <c r="D54" s="47">
        <v>1</v>
      </c>
      <c r="E54" s="48">
        <v>7800000</v>
      </c>
      <c r="F54" s="48">
        <f t="shared" si="22"/>
        <v>7800000</v>
      </c>
      <c r="G54" s="49">
        <f t="shared" si="21"/>
        <v>1.7755656117716758E-2</v>
      </c>
      <c r="H54" s="133"/>
    </row>
    <row r="55" spans="1:8">
      <c r="A55" s="46" t="s">
        <v>566</v>
      </c>
      <c r="B55" s="129" t="s">
        <v>670</v>
      </c>
      <c r="C55" s="46" t="s">
        <v>185</v>
      </c>
      <c r="D55" s="47">
        <v>1</v>
      </c>
      <c r="E55" s="48">
        <v>1150000</v>
      </c>
      <c r="F55" s="48">
        <f t="shared" si="22"/>
        <v>1150000</v>
      </c>
      <c r="G55" s="49">
        <f t="shared" si="21"/>
        <v>2.6178210942787526E-3</v>
      </c>
      <c r="H55" s="133"/>
    </row>
    <row r="56" spans="1:8">
      <c r="A56" s="46" t="s">
        <v>567</v>
      </c>
      <c r="B56" s="129" t="s">
        <v>671</v>
      </c>
      <c r="C56" s="46" t="s">
        <v>185</v>
      </c>
      <c r="D56" s="47">
        <v>1</v>
      </c>
      <c r="E56" s="48">
        <v>1250000</v>
      </c>
      <c r="F56" s="48">
        <f t="shared" si="22"/>
        <v>1250000</v>
      </c>
      <c r="G56" s="49">
        <f t="shared" si="21"/>
        <v>2.8454577111725575E-3</v>
      </c>
      <c r="H56" s="133"/>
    </row>
    <row r="57" spans="1:8">
      <c r="A57" s="46" t="s">
        <v>570</v>
      </c>
      <c r="B57" s="129" t="s">
        <v>672</v>
      </c>
      <c r="C57" s="46" t="s">
        <v>185</v>
      </c>
      <c r="D57" s="47">
        <v>1</v>
      </c>
      <c r="E57" s="48">
        <v>1350000</v>
      </c>
      <c r="F57" s="48">
        <f t="shared" si="22"/>
        <v>1350000</v>
      </c>
      <c r="G57" s="49">
        <f t="shared" si="21"/>
        <v>3.073094328066362E-3</v>
      </c>
      <c r="H57" s="133"/>
    </row>
    <row r="58" spans="1:8">
      <c r="A58" s="46" t="s">
        <v>571</v>
      </c>
      <c r="B58" s="129" t="s">
        <v>673</v>
      </c>
      <c r="C58" s="46" t="s">
        <v>185</v>
      </c>
      <c r="D58" s="47">
        <v>1</v>
      </c>
      <c r="E58" s="48">
        <v>800000</v>
      </c>
      <c r="F58" s="48">
        <f t="shared" si="22"/>
        <v>800000</v>
      </c>
      <c r="G58" s="49">
        <f t="shared" si="21"/>
        <v>1.8210929351504368E-3</v>
      </c>
      <c r="H58" s="133"/>
    </row>
    <row r="59" spans="1:8">
      <c r="A59" s="46" t="s">
        <v>572</v>
      </c>
      <c r="B59" s="129" t="s">
        <v>674</v>
      </c>
      <c r="C59" s="46" t="s">
        <v>185</v>
      </c>
      <c r="D59" s="47">
        <v>5</v>
      </c>
      <c r="E59" s="48">
        <v>850000</v>
      </c>
      <c r="F59" s="48">
        <f t="shared" si="22"/>
        <v>4250000</v>
      </c>
      <c r="G59" s="49">
        <f t="shared" si="21"/>
        <v>9.6745562179866955E-3</v>
      </c>
      <c r="H59" s="133"/>
    </row>
    <row r="60" spans="1:8">
      <c r="A60" s="46" t="s">
        <v>573</v>
      </c>
      <c r="B60" s="129" t="s">
        <v>675</v>
      </c>
      <c r="C60" s="46" t="s">
        <v>185</v>
      </c>
      <c r="D60" s="47">
        <v>1</v>
      </c>
      <c r="E60" s="48">
        <v>130000</v>
      </c>
      <c r="F60" s="48">
        <f t="shared" si="22"/>
        <v>130000</v>
      </c>
      <c r="G60" s="49">
        <f t="shared" si="21"/>
        <v>2.9592760196194598E-4</v>
      </c>
      <c r="H60" s="133"/>
    </row>
    <row r="61" spans="1:8">
      <c r="A61" s="46" t="s">
        <v>574</v>
      </c>
      <c r="B61" s="129" t="s">
        <v>676</v>
      </c>
      <c r="C61" s="46" t="s">
        <v>185</v>
      </c>
      <c r="D61" s="47">
        <v>1</v>
      </c>
      <c r="E61" s="48">
        <v>12450000</v>
      </c>
      <c r="F61" s="48">
        <f t="shared" si="22"/>
        <v>12450000</v>
      </c>
      <c r="G61" s="49">
        <f t="shared" si="21"/>
        <v>2.834075880327867E-2</v>
      </c>
      <c r="H61" s="133"/>
    </row>
    <row r="62" spans="1:8">
      <c r="A62" s="46" t="s">
        <v>575</v>
      </c>
      <c r="B62" s="129" t="s">
        <v>677</v>
      </c>
      <c r="C62" s="46" t="s">
        <v>185</v>
      </c>
      <c r="D62" s="47">
        <v>1</v>
      </c>
      <c r="E62" s="48">
        <v>1500000</v>
      </c>
      <c r="F62" s="48">
        <f t="shared" si="22"/>
        <v>1500000</v>
      </c>
      <c r="G62" s="49">
        <f t="shared" si="21"/>
        <v>3.4145492534070686E-3</v>
      </c>
      <c r="H62" s="133"/>
    </row>
    <row r="63" spans="1:8" ht="15">
      <c r="A63" s="142">
        <v>12</v>
      </c>
      <c r="B63" s="143" t="s">
        <v>591</v>
      </c>
      <c r="C63" s="144"/>
      <c r="D63" s="145"/>
      <c r="E63" s="146"/>
      <c r="F63" s="147">
        <f>SUM(F64:F74)</f>
        <v>46500500</v>
      </c>
      <c r="G63" s="148">
        <f>SUM(G64:G74)</f>
        <v>0.10585216503870359</v>
      </c>
      <c r="H63" s="149"/>
    </row>
    <row r="64" spans="1:8" ht="70.5" customHeight="1">
      <c r="A64" s="46" t="s">
        <v>142</v>
      </c>
      <c r="B64" s="172" t="s">
        <v>678</v>
      </c>
      <c r="C64" s="104" t="s">
        <v>189</v>
      </c>
      <c r="D64" s="87">
        <v>16.5</v>
      </c>
      <c r="E64" s="88">
        <v>150000</v>
      </c>
      <c r="F64" s="48">
        <f t="shared" ref="F64:F71" si="23">E64*D64</f>
        <v>2475000</v>
      </c>
      <c r="G64" s="49">
        <f t="shared" ref="G64:G74" si="24">F64/$F$141</f>
        <v>5.6340062681216633E-3</v>
      </c>
      <c r="H64" s="133"/>
    </row>
    <row r="65" spans="1:8" ht="62.25" customHeight="1">
      <c r="A65" s="46" t="s">
        <v>165</v>
      </c>
      <c r="B65" s="172" t="s">
        <v>679</v>
      </c>
      <c r="C65" s="104" t="s">
        <v>189</v>
      </c>
      <c r="D65" s="87">
        <f>2.5*31*2</f>
        <v>155</v>
      </c>
      <c r="E65" s="88">
        <v>85000</v>
      </c>
      <c r="F65" s="48">
        <f t="shared" si="23"/>
        <v>13175000</v>
      </c>
      <c r="G65" s="49">
        <f t="shared" si="24"/>
        <v>2.9991124275758754E-2</v>
      </c>
      <c r="H65" s="133"/>
    </row>
    <row r="66" spans="1:8" ht="57">
      <c r="A66" s="46" t="s">
        <v>166</v>
      </c>
      <c r="B66" s="172" t="s">
        <v>680</v>
      </c>
      <c r="C66" s="104" t="s">
        <v>186</v>
      </c>
      <c r="D66" s="87">
        <v>78</v>
      </c>
      <c r="E66" s="88">
        <v>55000</v>
      </c>
      <c r="F66" s="48">
        <f t="shared" si="23"/>
        <v>4290000</v>
      </c>
      <c r="G66" s="49">
        <f t="shared" si="24"/>
        <v>9.7656108647442164E-3</v>
      </c>
      <c r="H66" s="133"/>
    </row>
    <row r="67" spans="1:8" ht="58.5" customHeight="1">
      <c r="A67" s="46" t="s">
        <v>396</v>
      </c>
      <c r="B67" s="172" t="s">
        <v>681</v>
      </c>
      <c r="C67" s="104" t="s">
        <v>189</v>
      </c>
      <c r="D67" s="87">
        <v>16.5</v>
      </c>
      <c r="E67" s="88">
        <v>20000</v>
      </c>
      <c r="F67" s="48">
        <f t="shared" si="23"/>
        <v>330000</v>
      </c>
      <c r="G67" s="49">
        <f t="shared" si="24"/>
        <v>7.5120083574955511E-4</v>
      </c>
      <c r="H67" s="133"/>
    </row>
    <row r="68" spans="1:8" ht="85.5">
      <c r="A68" s="46" t="s">
        <v>397</v>
      </c>
      <c r="B68" s="172" t="s">
        <v>286</v>
      </c>
      <c r="C68" s="53" t="s">
        <v>186</v>
      </c>
      <c r="D68" s="87">
        <v>78</v>
      </c>
      <c r="E68" s="88">
        <v>60000</v>
      </c>
      <c r="F68" s="48">
        <f t="shared" si="23"/>
        <v>4680000</v>
      </c>
      <c r="G68" s="49">
        <f t="shared" si="24"/>
        <v>1.0653393670630054E-2</v>
      </c>
      <c r="H68" s="133"/>
    </row>
    <row r="69" spans="1:8" ht="71.25">
      <c r="A69" s="46" t="s">
        <v>398</v>
      </c>
      <c r="B69" s="172" t="s">
        <v>682</v>
      </c>
      <c r="C69" s="53" t="s">
        <v>186</v>
      </c>
      <c r="D69" s="87">
        <v>78</v>
      </c>
      <c r="E69" s="88">
        <v>45000</v>
      </c>
      <c r="F69" s="48">
        <f t="shared" si="23"/>
        <v>3510000</v>
      </c>
      <c r="G69" s="49">
        <f t="shared" si="24"/>
        <v>7.9900452529725417E-3</v>
      </c>
      <c r="H69" s="133"/>
    </row>
    <row r="70" spans="1:8" ht="128.25">
      <c r="A70" s="46" t="s">
        <v>399</v>
      </c>
      <c r="B70" s="172" t="s">
        <v>285</v>
      </c>
      <c r="C70" s="53" t="s">
        <v>186</v>
      </c>
      <c r="D70" s="87">
        <v>78</v>
      </c>
      <c r="E70" s="88">
        <v>75000</v>
      </c>
      <c r="F70" s="48">
        <f t="shared" si="23"/>
        <v>5850000</v>
      </c>
      <c r="G70" s="49">
        <f t="shared" si="24"/>
        <v>1.3316742088287568E-2</v>
      </c>
      <c r="H70" s="133"/>
    </row>
    <row r="71" spans="1:8" ht="85.5">
      <c r="A71" s="46" t="s">
        <v>400</v>
      </c>
      <c r="B71" s="172" t="s">
        <v>289</v>
      </c>
      <c r="C71" s="53" t="s">
        <v>189</v>
      </c>
      <c r="D71" s="87">
        <v>16.5</v>
      </c>
      <c r="E71" s="88">
        <v>25000</v>
      </c>
      <c r="F71" s="48">
        <f t="shared" si="23"/>
        <v>412500</v>
      </c>
      <c r="G71" s="49">
        <f t="shared" si="24"/>
        <v>9.3900104468694389E-4</v>
      </c>
      <c r="H71" s="133"/>
    </row>
    <row r="72" spans="1:8" ht="76.5" customHeight="1">
      <c r="A72" s="46" t="s">
        <v>401</v>
      </c>
      <c r="B72" s="172" t="s">
        <v>683</v>
      </c>
      <c r="C72" s="53" t="s">
        <v>189</v>
      </c>
      <c r="D72" s="87">
        <f>16.2*2</f>
        <v>32.4</v>
      </c>
      <c r="E72" s="88">
        <v>45000</v>
      </c>
      <c r="F72" s="48">
        <f t="shared" ref="F72:F73" si="25">E72*D72</f>
        <v>1458000</v>
      </c>
      <c r="G72" s="49">
        <f t="shared" si="24"/>
        <v>3.318941874311671E-3</v>
      </c>
      <c r="H72" s="133"/>
    </row>
    <row r="73" spans="1:8" ht="57">
      <c r="A73" s="46" t="s">
        <v>402</v>
      </c>
      <c r="B73" s="172" t="s">
        <v>684</v>
      </c>
      <c r="C73" s="53" t="s">
        <v>189</v>
      </c>
      <c r="D73" s="87">
        <f>16.2*2</f>
        <v>32.4</v>
      </c>
      <c r="E73" s="88">
        <v>150000</v>
      </c>
      <c r="F73" s="48">
        <f t="shared" si="25"/>
        <v>4860000</v>
      </c>
      <c r="G73" s="49">
        <f t="shared" si="24"/>
        <v>1.1063139581038902E-2</v>
      </c>
      <c r="H73" s="133"/>
    </row>
    <row r="74" spans="1:8" ht="85.5">
      <c r="A74" s="46" t="s">
        <v>403</v>
      </c>
      <c r="B74" s="172" t="s">
        <v>685</v>
      </c>
      <c r="C74" s="53" t="s">
        <v>186</v>
      </c>
      <c r="D74" s="87">
        <v>78</v>
      </c>
      <c r="E74" s="88">
        <v>70000</v>
      </c>
      <c r="F74" s="48">
        <f t="shared" ref="F74" si="26">E74*D74</f>
        <v>5460000</v>
      </c>
      <c r="G74" s="49">
        <f t="shared" si="24"/>
        <v>1.242895928240173E-2</v>
      </c>
      <c r="H74" s="133"/>
    </row>
    <row r="75" spans="1:8" ht="15">
      <c r="A75" s="142">
        <v>13</v>
      </c>
      <c r="B75" s="143" t="s">
        <v>590</v>
      </c>
      <c r="C75" s="144"/>
      <c r="D75" s="145"/>
      <c r="E75" s="146"/>
      <c r="F75" s="147">
        <f>SUM(F76:F97)/2</f>
        <v>14240000</v>
      </c>
      <c r="G75" s="148">
        <f>SUM(G76:G97)/2</f>
        <v>3.241545424567778E-2</v>
      </c>
      <c r="H75" s="149"/>
    </row>
    <row r="76" spans="1:8" ht="15">
      <c r="A76" s="41" t="s">
        <v>141</v>
      </c>
      <c r="B76" s="107" t="s">
        <v>293</v>
      </c>
      <c r="C76" s="42"/>
      <c r="D76" s="43"/>
      <c r="E76" s="54"/>
      <c r="F76" s="44">
        <f>SUM(F77:F90)</f>
        <v>12810000</v>
      </c>
      <c r="G76" s="45">
        <f>SUM(G77:G90)</f>
        <v>2.9160250624096367E-2</v>
      </c>
      <c r="H76" s="132"/>
    </row>
    <row r="77" spans="1:8">
      <c r="A77" s="105" t="s">
        <v>313</v>
      </c>
      <c r="B77" s="50" t="s">
        <v>294</v>
      </c>
      <c r="C77" s="46" t="s">
        <v>189</v>
      </c>
      <c r="D77" s="47">
        <v>48</v>
      </c>
      <c r="E77" s="106">
        <v>55000</v>
      </c>
      <c r="F77" s="48">
        <f t="shared" ref="F77" si="27">E77*D77</f>
        <v>2640000</v>
      </c>
      <c r="G77" s="49">
        <f t="shared" ref="G77:G90" si="28">F77/$F$141</f>
        <v>6.0096066859964409E-3</v>
      </c>
      <c r="H77" s="133"/>
    </row>
    <row r="78" spans="1:8">
      <c r="A78" s="105" t="s">
        <v>314</v>
      </c>
      <c r="B78" s="50" t="s">
        <v>295</v>
      </c>
      <c r="C78" s="53" t="s">
        <v>189</v>
      </c>
      <c r="D78" s="87">
        <v>18</v>
      </c>
      <c r="E78" s="106">
        <v>45000</v>
      </c>
      <c r="F78" s="48">
        <f t="shared" ref="F78:F90" si="29">E78*D78</f>
        <v>810000</v>
      </c>
      <c r="G78" s="49">
        <f t="shared" si="28"/>
        <v>1.8438565968398172E-3</v>
      </c>
      <c r="H78" s="133"/>
    </row>
    <row r="79" spans="1:8">
      <c r="A79" s="105" t="s">
        <v>315</v>
      </c>
      <c r="B79" s="50" t="s">
        <v>296</v>
      </c>
      <c r="C79" s="53" t="s">
        <v>189</v>
      </c>
      <c r="D79" s="87">
        <v>12</v>
      </c>
      <c r="E79" s="106">
        <v>40000</v>
      </c>
      <c r="F79" s="48">
        <f t="shared" si="29"/>
        <v>480000</v>
      </c>
      <c r="G79" s="49">
        <f t="shared" si="28"/>
        <v>1.0926557610902621E-3</v>
      </c>
      <c r="H79" s="133"/>
    </row>
    <row r="80" spans="1:8">
      <c r="A80" s="105" t="s">
        <v>316</v>
      </c>
      <c r="B80" s="50" t="s">
        <v>310</v>
      </c>
      <c r="C80" s="53" t="s">
        <v>189</v>
      </c>
      <c r="D80" s="87">
        <v>12</v>
      </c>
      <c r="E80" s="106">
        <v>35000</v>
      </c>
      <c r="F80" s="48">
        <f t="shared" si="29"/>
        <v>420000</v>
      </c>
      <c r="G80" s="49">
        <f t="shared" si="28"/>
        <v>9.5607379095397928E-4</v>
      </c>
      <c r="H80" s="133"/>
    </row>
    <row r="81" spans="1:8" ht="28.5">
      <c r="A81" s="105" t="s">
        <v>317</v>
      </c>
      <c r="B81" s="50" t="s">
        <v>297</v>
      </c>
      <c r="C81" s="53" t="s">
        <v>189</v>
      </c>
      <c r="D81" s="87">
        <v>6</v>
      </c>
      <c r="E81" s="106">
        <v>35000</v>
      </c>
      <c r="F81" s="48">
        <f t="shared" si="29"/>
        <v>210000</v>
      </c>
      <c r="G81" s="49">
        <f t="shared" si="28"/>
        <v>4.7803689547698964E-4</v>
      </c>
      <c r="H81" s="133"/>
    </row>
    <row r="82" spans="1:8">
      <c r="A82" s="105" t="s">
        <v>318</v>
      </c>
      <c r="B82" s="50" t="s">
        <v>298</v>
      </c>
      <c r="C82" s="53" t="s">
        <v>189</v>
      </c>
      <c r="D82" s="87">
        <v>6</v>
      </c>
      <c r="E82" s="88">
        <v>30000</v>
      </c>
      <c r="F82" s="48">
        <f t="shared" si="29"/>
        <v>180000</v>
      </c>
      <c r="G82" s="49">
        <f t="shared" si="28"/>
        <v>4.0974591040884823E-4</v>
      </c>
      <c r="H82" s="133"/>
    </row>
    <row r="83" spans="1:8" ht="72.75" customHeight="1">
      <c r="A83" s="105" t="s">
        <v>319</v>
      </c>
      <c r="B83" s="172" t="s">
        <v>311</v>
      </c>
      <c r="C83" s="53" t="s">
        <v>185</v>
      </c>
      <c r="D83" s="87">
        <v>4</v>
      </c>
      <c r="E83" s="88">
        <v>50000</v>
      </c>
      <c r="F83" s="48">
        <f t="shared" si="29"/>
        <v>200000</v>
      </c>
      <c r="G83" s="49">
        <f t="shared" si="28"/>
        <v>4.5527323378760919E-4</v>
      </c>
      <c r="H83" s="133"/>
    </row>
    <row r="84" spans="1:8" ht="57">
      <c r="A84" s="105" t="s">
        <v>320</v>
      </c>
      <c r="B84" s="172" t="s">
        <v>299</v>
      </c>
      <c r="C84" s="53" t="s">
        <v>185</v>
      </c>
      <c r="D84" s="87">
        <v>2</v>
      </c>
      <c r="E84" s="88">
        <v>55000</v>
      </c>
      <c r="F84" s="48">
        <f t="shared" si="29"/>
        <v>110000</v>
      </c>
      <c r="G84" s="49">
        <f t="shared" si="28"/>
        <v>2.5040027858318502E-4</v>
      </c>
      <c r="H84" s="133"/>
    </row>
    <row r="85" spans="1:8" ht="57">
      <c r="A85" s="105" t="s">
        <v>321</v>
      </c>
      <c r="B85" s="172" t="s">
        <v>300</v>
      </c>
      <c r="C85" s="53" t="s">
        <v>185</v>
      </c>
      <c r="D85" s="87">
        <v>10</v>
      </c>
      <c r="E85" s="88">
        <v>75000</v>
      </c>
      <c r="F85" s="48">
        <f t="shared" si="29"/>
        <v>750000</v>
      </c>
      <c r="G85" s="49">
        <f t="shared" si="28"/>
        <v>1.7072746267035343E-3</v>
      </c>
      <c r="H85" s="133"/>
    </row>
    <row r="86" spans="1:8" ht="57">
      <c r="A86" s="105" t="s">
        <v>322</v>
      </c>
      <c r="B86" s="172" t="s">
        <v>301</v>
      </c>
      <c r="C86" s="53" t="s">
        <v>185</v>
      </c>
      <c r="D86" s="87">
        <v>3</v>
      </c>
      <c r="E86" s="88">
        <v>130000</v>
      </c>
      <c r="F86" s="48">
        <f t="shared" si="29"/>
        <v>390000</v>
      </c>
      <c r="G86" s="49">
        <f t="shared" si="28"/>
        <v>8.8778280588583793E-4</v>
      </c>
      <c r="H86" s="133"/>
    </row>
    <row r="87" spans="1:8" ht="42.75">
      <c r="A87" s="105" t="s">
        <v>323</v>
      </c>
      <c r="B87" s="172" t="s">
        <v>686</v>
      </c>
      <c r="C87" s="53" t="s">
        <v>185</v>
      </c>
      <c r="D87" s="87">
        <v>3</v>
      </c>
      <c r="E87" s="88">
        <v>600000</v>
      </c>
      <c r="F87" s="48">
        <f t="shared" si="29"/>
        <v>1800000</v>
      </c>
      <c r="G87" s="49">
        <f t="shared" si="28"/>
        <v>4.0974591040884821E-3</v>
      </c>
      <c r="H87" s="133"/>
    </row>
    <row r="88" spans="1:8">
      <c r="A88" s="105" t="s">
        <v>324</v>
      </c>
      <c r="B88" s="172" t="s">
        <v>687</v>
      </c>
      <c r="C88" s="53" t="s">
        <v>188</v>
      </c>
      <c r="D88" s="87">
        <v>25</v>
      </c>
      <c r="E88" s="88">
        <v>100000</v>
      </c>
      <c r="F88" s="48">
        <f t="shared" si="29"/>
        <v>2500000</v>
      </c>
      <c r="G88" s="49">
        <f t="shared" si="28"/>
        <v>5.690915422345115E-3</v>
      </c>
      <c r="H88" s="133"/>
    </row>
    <row r="89" spans="1:8">
      <c r="A89" s="105" t="s">
        <v>325</v>
      </c>
      <c r="B89" s="172" t="s">
        <v>303</v>
      </c>
      <c r="C89" s="53" t="s">
        <v>188</v>
      </c>
      <c r="D89" s="87">
        <v>16</v>
      </c>
      <c r="E89" s="88">
        <v>65000</v>
      </c>
      <c r="F89" s="48">
        <f t="shared" si="29"/>
        <v>1040000</v>
      </c>
      <c r="G89" s="49">
        <f t="shared" si="28"/>
        <v>2.3674208156955678E-3</v>
      </c>
      <c r="H89" s="133"/>
    </row>
    <row r="90" spans="1:8" ht="57">
      <c r="A90" s="105" t="s">
        <v>326</v>
      </c>
      <c r="B90" s="172" t="s">
        <v>688</v>
      </c>
      <c r="C90" s="53" t="s">
        <v>188</v>
      </c>
      <c r="D90" s="87">
        <v>16</v>
      </c>
      <c r="E90" s="88">
        <v>80000</v>
      </c>
      <c r="F90" s="48">
        <f t="shared" si="29"/>
        <v>1280000</v>
      </c>
      <c r="G90" s="49">
        <f t="shared" si="28"/>
        <v>2.9137486962406986E-3</v>
      </c>
      <c r="H90" s="133"/>
    </row>
    <row r="91" spans="1:8" ht="15">
      <c r="A91" s="41" t="s">
        <v>140</v>
      </c>
      <c r="B91" s="107" t="s">
        <v>304</v>
      </c>
      <c r="C91" s="42"/>
      <c r="D91" s="43"/>
      <c r="E91" s="54"/>
      <c r="F91" s="44">
        <f>SUM(F92:F97)</f>
        <v>1430000</v>
      </c>
      <c r="G91" s="45">
        <f>SUM(G92:G97)</f>
        <v>3.2552036215814061E-3</v>
      </c>
      <c r="H91" s="132"/>
    </row>
    <row r="92" spans="1:8">
      <c r="A92" s="46" t="s">
        <v>327</v>
      </c>
      <c r="B92" s="50" t="s">
        <v>305</v>
      </c>
      <c r="C92" s="53" t="s">
        <v>189</v>
      </c>
      <c r="D92" s="87">
        <v>18</v>
      </c>
      <c r="E92" s="88">
        <v>30000</v>
      </c>
      <c r="F92" s="48">
        <f t="shared" ref="F92" si="30">E92*D92</f>
        <v>540000</v>
      </c>
      <c r="G92" s="49">
        <f t="shared" ref="G92:G97" si="31">F92/$F$141</f>
        <v>1.2292377312265448E-3</v>
      </c>
      <c r="H92" s="133"/>
    </row>
    <row r="93" spans="1:8">
      <c r="A93" s="46" t="s">
        <v>328</v>
      </c>
      <c r="B93" s="50" t="s">
        <v>306</v>
      </c>
      <c r="C93" s="53" t="s">
        <v>189</v>
      </c>
      <c r="D93" s="87">
        <v>8</v>
      </c>
      <c r="E93" s="88">
        <v>25000</v>
      </c>
      <c r="F93" s="48">
        <f t="shared" ref="F93:F97" si="32">E93*D93</f>
        <v>200000</v>
      </c>
      <c r="G93" s="49">
        <f t="shared" si="31"/>
        <v>4.5527323378760919E-4</v>
      </c>
      <c r="H93" s="133"/>
    </row>
    <row r="94" spans="1:8" ht="57">
      <c r="A94" s="46" t="s">
        <v>329</v>
      </c>
      <c r="B94" s="172" t="s">
        <v>689</v>
      </c>
      <c r="C94" s="53" t="s">
        <v>185</v>
      </c>
      <c r="D94" s="87">
        <v>4</v>
      </c>
      <c r="E94" s="88">
        <v>35000</v>
      </c>
      <c r="F94" s="48">
        <f t="shared" si="32"/>
        <v>140000</v>
      </c>
      <c r="G94" s="49">
        <f t="shared" si="31"/>
        <v>3.1869126365132643E-4</v>
      </c>
      <c r="H94" s="133"/>
    </row>
    <row r="95" spans="1:8" ht="42.75">
      <c r="A95" s="46" t="s">
        <v>330</v>
      </c>
      <c r="B95" s="172" t="s">
        <v>690</v>
      </c>
      <c r="C95" s="53" t="s">
        <v>185</v>
      </c>
      <c r="D95" s="87">
        <v>1</v>
      </c>
      <c r="E95" s="88">
        <v>300000</v>
      </c>
      <c r="F95" s="48">
        <f t="shared" si="32"/>
        <v>300000</v>
      </c>
      <c r="G95" s="49">
        <f t="shared" si="31"/>
        <v>6.8290985068141376E-4</v>
      </c>
      <c r="H95" s="133"/>
    </row>
    <row r="96" spans="1:8">
      <c r="A96" s="46" t="s">
        <v>331</v>
      </c>
      <c r="B96" s="50" t="s">
        <v>691</v>
      </c>
      <c r="C96" s="53" t="s">
        <v>185</v>
      </c>
      <c r="D96" s="87">
        <v>1</v>
      </c>
      <c r="E96" s="88">
        <v>50000</v>
      </c>
      <c r="F96" s="48">
        <f t="shared" si="32"/>
        <v>50000</v>
      </c>
      <c r="G96" s="49">
        <f t="shared" si="31"/>
        <v>1.138183084469023E-4</v>
      </c>
      <c r="H96" s="133"/>
    </row>
    <row r="97" spans="1:8" ht="88.5" customHeight="1">
      <c r="A97" s="105" t="s">
        <v>332</v>
      </c>
      <c r="B97" s="172" t="s">
        <v>692</v>
      </c>
      <c r="C97" s="108" t="s">
        <v>185</v>
      </c>
      <c r="D97" s="87">
        <v>4</v>
      </c>
      <c r="E97" s="88">
        <v>50000</v>
      </c>
      <c r="F97" s="48">
        <f t="shared" si="32"/>
        <v>200000</v>
      </c>
      <c r="G97" s="49">
        <f t="shared" si="31"/>
        <v>4.5527323378760919E-4</v>
      </c>
      <c r="H97" s="133"/>
    </row>
    <row r="98" spans="1:8" ht="15">
      <c r="A98" s="142">
        <v>14</v>
      </c>
      <c r="B98" s="143" t="s">
        <v>589</v>
      </c>
      <c r="C98" s="144"/>
      <c r="D98" s="145"/>
      <c r="E98" s="146"/>
      <c r="F98" s="147">
        <f>SUM(F99:F107)</f>
        <v>17847999.999999996</v>
      </c>
      <c r="G98" s="148">
        <f>SUM(G99:G107)</f>
        <v>4.0628583383206233E-2</v>
      </c>
      <c r="H98" s="149"/>
    </row>
    <row r="99" spans="1:8" ht="71.25">
      <c r="A99" s="46" t="s">
        <v>335</v>
      </c>
      <c r="B99" s="172" t="s">
        <v>344</v>
      </c>
      <c r="C99" s="53" t="s">
        <v>185</v>
      </c>
      <c r="D99" s="47">
        <v>1</v>
      </c>
      <c r="E99" s="48">
        <v>800000</v>
      </c>
      <c r="F99" s="48">
        <f t="shared" ref="F99:F105" si="33">E99*D99</f>
        <v>800000</v>
      </c>
      <c r="G99" s="49">
        <f t="shared" ref="G99:G107" si="34">F99/$F$141</f>
        <v>1.8210929351504368E-3</v>
      </c>
      <c r="H99" s="133"/>
    </row>
    <row r="100" spans="1:8" ht="71.25">
      <c r="A100" s="46" t="s">
        <v>336</v>
      </c>
      <c r="B100" s="172" t="s">
        <v>344</v>
      </c>
      <c r="C100" s="53" t="s">
        <v>185</v>
      </c>
      <c r="D100" s="47">
        <v>1</v>
      </c>
      <c r="E100" s="48">
        <v>650000</v>
      </c>
      <c r="F100" s="48">
        <f t="shared" si="33"/>
        <v>650000</v>
      </c>
      <c r="G100" s="49">
        <f t="shared" si="34"/>
        <v>1.4796380098097298E-3</v>
      </c>
      <c r="H100" s="133"/>
    </row>
    <row r="101" spans="1:8" ht="85.5">
      <c r="A101" s="46" t="s">
        <v>337</v>
      </c>
      <c r="B101" s="172" t="s">
        <v>693</v>
      </c>
      <c r="C101" s="53" t="s">
        <v>185</v>
      </c>
      <c r="D101" s="47">
        <v>1</v>
      </c>
      <c r="E101" s="48">
        <v>1500000</v>
      </c>
      <c r="F101" s="48">
        <f t="shared" si="33"/>
        <v>1500000</v>
      </c>
      <c r="G101" s="49">
        <f t="shared" si="34"/>
        <v>3.4145492534070686E-3</v>
      </c>
      <c r="H101" s="133"/>
    </row>
    <row r="102" spans="1:8" ht="71.25">
      <c r="A102" s="46" t="s">
        <v>338</v>
      </c>
      <c r="B102" s="172" t="s">
        <v>694</v>
      </c>
      <c r="C102" s="53" t="s">
        <v>185</v>
      </c>
      <c r="D102" s="47">
        <v>1</v>
      </c>
      <c r="E102" s="48">
        <v>350000</v>
      </c>
      <c r="F102" s="48">
        <f t="shared" si="33"/>
        <v>350000</v>
      </c>
      <c r="G102" s="49">
        <f t="shared" si="34"/>
        <v>7.9672815912831601E-4</v>
      </c>
      <c r="H102" s="133"/>
    </row>
    <row r="103" spans="1:8" ht="85.5">
      <c r="A103" s="46" t="s">
        <v>339</v>
      </c>
      <c r="B103" s="172" t="s">
        <v>695</v>
      </c>
      <c r="C103" s="53" t="s">
        <v>185</v>
      </c>
      <c r="D103" s="47">
        <v>1</v>
      </c>
      <c r="E103" s="48">
        <v>40000</v>
      </c>
      <c r="F103" s="48">
        <f t="shared" si="33"/>
        <v>40000</v>
      </c>
      <c r="G103" s="49">
        <f t="shared" si="34"/>
        <v>9.1054646757521832E-5</v>
      </c>
      <c r="H103" s="133"/>
    </row>
    <row r="104" spans="1:8" ht="71.25">
      <c r="A104" s="46" t="s">
        <v>340</v>
      </c>
      <c r="B104" s="172" t="s">
        <v>346</v>
      </c>
      <c r="C104" s="53" t="s">
        <v>185</v>
      </c>
      <c r="D104" s="47">
        <v>1</v>
      </c>
      <c r="E104" s="48">
        <v>250000</v>
      </c>
      <c r="F104" s="48">
        <f t="shared" si="33"/>
        <v>250000</v>
      </c>
      <c r="G104" s="49">
        <f t="shared" si="34"/>
        <v>5.690915422345115E-4</v>
      </c>
      <c r="H104" s="133"/>
    </row>
    <row r="105" spans="1:8" ht="99.75" customHeight="1">
      <c r="A105" s="46" t="s">
        <v>341</v>
      </c>
      <c r="B105" s="172" t="s">
        <v>696</v>
      </c>
      <c r="C105" s="53" t="s">
        <v>185</v>
      </c>
      <c r="D105" s="47">
        <v>1</v>
      </c>
      <c r="E105" s="48">
        <v>650000</v>
      </c>
      <c r="F105" s="48">
        <f t="shared" si="33"/>
        <v>650000</v>
      </c>
      <c r="G105" s="49">
        <f t="shared" si="34"/>
        <v>1.4796380098097298E-3</v>
      </c>
      <c r="H105" s="133"/>
    </row>
    <row r="106" spans="1:8" ht="85.5">
      <c r="A106" s="46" t="s">
        <v>342</v>
      </c>
      <c r="B106" s="172" t="s">
        <v>348</v>
      </c>
      <c r="C106" s="53" t="s">
        <v>185</v>
      </c>
      <c r="D106" s="47">
        <v>1</v>
      </c>
      <c r="E106" s="48">
        <v>200000</v>
      </c>
      <c r="F106" s="48">
        <f t="shared" ref="F106:F107" si="35">E106*D106</f>
        <v>200000</v>
      </c>
      <c r="G106" s="49">
        <f t="shared" si="34"/>
        <v>4.5527323378760919E-4</v>
      </c>
      <c r="H106" s="133"/>
    </row>
    <row r="107" spans="1:8" ht="71.25">
      <c r="A107" s="46" t="s">
        <v>343</v>
      </c>
      <c r="B107" s="172" t="s">
        <v>349</v>
      </c>
      <c r="C107" s="53" t="s">
        <v>189</v>
      </c>
      <c r="D107" s="47">
        <f>16.05+0.5+0.36+0.65+3.05+0.15+0.15+0.7+2.55+3.36+0.71+0.22+0.25+0.25+0.25+0.72+0.68+1.43+0.4+5.4+3.8+5.4+2.3+12+0.65+0.15+1.4+2.3+1.21</f>
        <v>67.039999999999978</v>
      </c>
      <c r="E107" s="48">
        <v>200000</v>
      </c>
      <c r="F107" s="48">
        <f t="shared" si="35"/>
        <v>13407999.999999996</v>
      </c>
      <c r="G107" s="49">
        <f t="shared" si="34"/>
        <v>3.052151759312131E-2</v>
      </c>
      <c r="H107" s="133"/>
    </row>
    <row r="108" spans="1:8" ht="15">
      <c r="A108" s="142">
        <v>15</v>
      </c>
      <c r="B108" s="143" t="s">
        <v>588</v>
      </c>
      <c r="C108" s="144"/>
      <c r="D108" s="145"/>
      <c r="E108" s="146"/>
      <c r="F108" s="147">
        <f>SUM(F109:F116)</f>
        <v>13210633.359999999</v>
      </c>
      <c r="G108" s="148">
        <f>SUM(G109:G116)</f>
        <v>3.0072238850948344E-2</v>
      </c>
      <c r="H108" s="149"/>
    </row>
    <row r="109" spans="1:8">
      <c r="A109" s="46" t="s">
        <v>355</v>
      </c>
      <c r="B109" s="50" t="s">
        <v>576</v>
      </c>
      <c r="C109" s="53" t="s">
        <v>582</v>
      </c>
      <c r="D109" s="47">
        <v>1</v>
      </c>
      <c r="E109" s="48">
        <v>1650000</v>
      </c>
      <c r="F109" s="48">
        <f t="shared" ref="F109" si="36">E109*D109</f>
        <v>1650000</v>
      </c>
      <c r="G109" s="49">
        <f t="shared" ref="G109:G116" si="37">F109/$F$141</f>
        <v>3.7560041787477755E-3</v>
      </c>
      <c r="H109" s="133"/>
    </row>
    <row r="110" spans="1:8">
      <c r="A110" s="46" t="s">
        <v>356</v>
      </c>
      <c r="B110" s="50" t="s">
        <v>577</v>
      </c>
      <c r="C110" s="53" t="s">
        <v>582</v>
      </c>
      <c r="D110" s="47">
        <v>1</v>
      </c>
      <c r="E110" s="48">
        <v>1170000</v>
      </c>
      <c r="F110" s="48">
        <f t="shared" ref="F110:F116" si="38">E110*D110</f>
        <v>1170000</v>
      </c>
      <c r="G110" s="49">
        <f t="shared" si="37"/>
        <v>2.6633484176575135E-3</v>
      </c>
      <c r="H110" s="133"/>
    </row>
    <row r="111" spans="1:8">
      <c r="A111" s="46" t="s">
        <v>357</v>
      </c>
      <c r="B111" s="50" t="s">
        <v>578</v>
      </c>
      <c r="C111" s="53" t="s">
        <v>582</v>
      </c>
      <c r="D111" s="47">
        <v>2</v>
      </c>
      <c r="E111" s="48">
        <v>1380000</v>
      </c>
      <c r="F111" s="48">
        <f t="shared" si="38"/>
        <v>2760000</v>
      </c>
      <c r="G111" s="49">
        <f t="shared" si="37"/>
        <v>6.2827706262690063E-3</v>
      </c>
      <c r="H111" s="133"/>
    </row>
    <row r="112" spans="1:8">
      <c r="A112" s="46" t="s">
        <v>358</v>
      </c>
      <c r="B112" s="50" t="s">
        <v>579</v>
      </c>
      <c r="C112" s="53" t="s">
        <v>582</v>
      </c>
      <c r="D112" s="47">
        <v>1</v>
      </c>
      <c r="E112" s="48">
        <v>1290000</v>
      </c>
      <c r="F112" s="48">
        <f t="shared" si="38"/>
        <v>1290000</v>
      </c>
      <c r="G112" s="49">
        <f t="shared" si="37"/>
        <v>2.9365123579300793E-3</v>
      </c>
      <c r="H112" s="133"/>
    </row>
    <row r="113" spans="1:8">
      <c r="A113" s="46" t="s">
        <v>359</v>
      </c>
      <c r="B113" s="50" t="s">
        <v>580</v>
      </c>
      <c r="C113" s="53" t="s">
        <v>582</v>
      </c>
      <c r="D113" s="47">
        <v>1</v>
      </c>
      <c r="E113" s="48">
        <v>950000</v>
      </c>
      <c r="F113" s="48">
        <f t="shared" si="38"/>
        <v>950000</v>
      </c>
      <c r="G113" s="49">
        <f t="shared" si="37"/>
        <v>2.1625478604911435E-3</v>
      </c>
      <c r="H113" s="133"/>
    </row>
    <row r="114" spans="1:8" ht="57">
      <c r="A114" s="46" t="s">
        <v>360</v>
      </c>
      <c r="B114" s="172" t="s">
        <v>583</v>
      </c>
      <c r="C114" s="53" t="s">
        <v>582</v>
      </c>
      <c r="D114" s="47">
        <v>4</v>
      </c>
      <c r="E114" s="48">
        <f>775000*1.19</f>
        <v>922250</v>
      </c>
      <c r="F114" s="48">
        <f t="shared" si="38"/>
        <v>3689000</v>
      </c>
      <c r="G114" s="49">
        <f t="shared" si="37"/>
        <v>8.3975147972124506E-3</v>
      </c>
      <c r="H114" s="133"/>
    </row>
    <row r="115" spans="1:8" ht="42.75">
      <c r="A115" s="46" t="s">
        <v>361</v>
      </c>
      <c r="B115" s="172" t="s">
        <v>581</v>
      </c>
      <c r="C115" s="53" t="s">
        <v>585</v>
      </c>
      <c r="D115" s="47">
        <v>2</v>
      </c>
      <c r="E115" s="48">
        <f>241472*1.19</f>
        <v>287351.67999999999</v>
      </c>
      <c r="F115" s="48">
        <f t="shared" si="38"/>
        <v>574703.35999999999</v>
      </c>
      <c r="G115" s="49">
        <f t="shared" si="37"/>
        <v>1.3082352858790225E-3</v>
      </c>
      <c r="H115" s="133"/>
    </row>
    <row r="116" spans="1:8">
      <c r="A116" s="46" t="s">
        <v>362</v>
      </c>
      <c r="B116" s="50" t="s">
        <v>584</v>
      </c>
      <c r="C116" s="53" t="s">
        <v>582</v>
      </c>
      <c r="D116" s="47">
        <v>1</v>
      </c>
      <c r="E116" s="48">
        <f>947000*1.19</f>
        <v>1126930</v>
      </c>
      <c r="F116" s="48">
        <f t="shared" si="38"/>
        <v>1126930</v>
      </c>
      <c r="G116" s="49">
        <f t="shared" si="37"/>
        <v>2.5653053267613518E-3</v>
      </c>
      <c r="H116" s="133"/>
    </row>
    <row r="117" spans="1:8" ht="15">
      <c r="A117" s="142">
        <v>16</v>
      </c>
      <c r="B117" s="143" t="s">
        <v>587</v>
      </c>
      <c r="C117" s="144"/>
      <c r="D117" s="145"/>
      <c r="E117" s="146"/>
      <c r="F117" s="147">
        <f>SUM(F118:F137)/2</f>
        <v>61828821</v>
      </c>
      <c r="G117" s="148">
        <f>SUM(G118:G137)/2</f>
        <v>0.14074503638972619</v>
      </c>
      <c r="H117" s="149"/>
    </row>
    <row r="118" spans="1:8" ht="15">
      <c r="A118" s="41" t="s">
        <v>487</v>
      </c>
      <c r="B118" s="52" t="s">
        <v>488</v>
      </c>
      <c r="C118" s="116"/>
      <c r="D118" s="117"/>
      <c r="E118" s="44"/>
      <c r="F118" s="44">
        <f>SUM(F119:F122)</f>
        <v>45183821</v>
      </c>
      <c r="G118" s="45">
        <f>SUM(G119:G122)</f>
        <v>0.10285492150775241</v>
      </c>
      <c r="H118" s="132"/>
    </row>
    <row r="119" spans="1:8" ht="156.75">
      <c r="A119" s="46" t="s">
        <v>492</v>
      </c>
      <c r="B119" s="172" t="s">
        <v>697</v>
      </c>
      <c r="C119" s="118" t="s">
        <v>185</v>
      </c>
      <c r="D119" s="123">
        <v>1</v>
      </c>
      <c r="E119" s="48">
        <f>+APU´S!D1648</f>
        <v>30124410</v>
      </c>
      <c r="F119" s="48">
        <f t="shared" ref="F119:F137" si="39">E119*D119</f>
        <v>30124410</v>
      </c>
      <c r="G119" s="49">
        <f t="shared" ref="G119:G122" si="40">F119/$F$141</f>
        <v>6.8574187783218957E-2</v>
      </c>
      <c r="H119" s="133"/>
    </row>
    <row r="120" spans="1:8" ht="85.5">
      <c r="A120" s="46" t="s">
        <v>493</v>
      </c>
      <c r="B120" s="172" t="s">
        <v>698</v>
      </c>
      <c r="C120" s="119" t="s">
        <v>185</v>
      </c>
      <c r="D120" s="124">
        <v>1</v>
      </c>
      <c r="E120" s="48">
        <f>+APU´S!D1674</f>
        <v>5357757</v>
      </c>
      <c r="F120" s="48">
        <f t="shared" si="39"/>
        <v>5357757</v>
      </c>
      <c r="G120" s="49">
        <f t="shared" si="40"/>
        <v>1.2196216776190998E-2</v>
      </c>
      <c r="H120" s="133"/>
    </row>
    <row r="121" spans="1:8" ht="99.75">
      <c r="A121" s="46" t="s">
        <v>494</v>
      </c>
      <c r="B121" s="172" t="s">
        <v>490</v>
      </c>
      <c r="C121" s="119" t="s">
        <v>185</v>
      </c>
      <c r="D121" s="124">
        <v>1</v>
      </c>
      <c r="E121" s="48">
        <f>+APU´S!D1708</f>
        <v>3128077</v>
      </c>
      <c r="F121" s="48">
        <f t="shared" si="39"/>
        <v>3128077</v>
      </c>
      <c r="G121" s="49">
        <f t="shared" si="40"/>
        <v>7.1206486566332159E-3</v>
      </c>
      <c r="H121" s="133"/>
    </row>
    <row r="122" spans="1:8" ht="85.5">
      <c r="A122" s="46" t="s">
        <v>495</v>
      </c>
      <c r="B122" s="172" t="s">
        <v>491</v>
      </c>
      <c r="C122" s="119" t="s">
        <v>185</v>
      </c>
      <c r="D122" s="124">
        <v>1</v>
      </c>
      <c r="E122" s="48">
        <f>+APU´S!D1742</f>
        <v>6573577</v>
      </c>
      <c r="F122" s="48">
        <f t="shared" si="39"/>
        <v>6573577</v>
      </c>
      <c r="G122" s="49">
        <f t="shared" si="40"/>
        <v>1.4963868291709252E-2</v>
      </c>
      <c r="H122" s="133"/>
    </row>
    <row r="123" spans="1:8" ht="15">
      <c r="A123" s="41" t="s">
        <v>496</v>
      </c>
      <c r="B123" s="52" t="s">
        <v>497</v>
      </c>
      <c r="C123" s="116"/>
      <c r="D123" s="117"/>
      <c r="E123" s="44"/>
      <c r="F123" s="44">
        <f>SUM(F124:F126)</f>
        <v>5840000</v>
      </c>
      <c r="G123" s="45">
        <f>SUM(G124:G126)</f>
        <v>1.3293978426598189E-2</v>
      </c>
      <c r="H123" s="132"/>
    </row>
    <row r="124" spans="1:8" ht="85.5">
      <c r="A124" s="46" t="s">
        <v>500</v>
      </c>
      <c r="B124" s="172" t="s">
        <v>699</v>
      </c>
      <c r="C124" s="120" t="s">
        <v>184</v>
      </c>
      <c r="D124" s="125">
        <v>16</v>
      </c>
      <c r="E124" s="48">
        <v>105000</v>
      </c>
      <c r="F124" s="48">
        <f t="shared" si="39"/>
        <v>1680000</v>
      </c>
      <c r="G124" s="49">
        <f t="shared" ref="G124:G126" si="41">F124/$F$141</f>
        <v>3.8242951638159171E-3</v>
      </c>
      <c r="H124" s="133"/>
    </row>
    <row r="125" spans="1:8" ht="85.5">
      <c r="A125" s="46" t="s">
        <v>501</v>
      </c>
      <c r="B125" s="172" t="s">
        <v>700</v>
      </c>
      <c r="C125" s="118" t="s">
        <v>184</v>
      </c>
      <c r="D125" s="124">
        <v>32</v>
      </c>
      <c r="E125" s="48">
        <v>90000</v>
      </c>
      <c r="F125" s="48">
        <f t="shared" si="39"/>
        <v>2880000</v>
      </c>
      <c r="G125" s="49">
        <f t="shared" si="41"/>
        <v>6.5559345665415717E-3</v>
      </c>
      <c r="H125" s="133"/>
    </row>
    <row r="126" spans="1:8" ht="85.5">
      <c r="A126" s="46" t="s">
        <v>502</v>
      </c>
      <c r="B126" s="172" t="s">
        <v>701</v>
      </c>
      <c r="C126" s="119" t="s">
        <v>184</v>
      </c>
      <c r="D126" s="124">
        <v>16</v>
      </c>
      <c r="E126" s="48">
        <v>80000</v>
      </c>
      <c r="F126" s="48">
        <f t="shared" si="39"/>
        <v>1280000</v>
      </c>
      <c r="G126" s="49">
        <f t="shared" si="41"/>
        <v>2.9137486962406986E-3</v>
      </c>
      <c r="H126" s="133"/>
    </row>
    <row r="127" spans="1:8" ht="15">
      <c r="A127" s="41" t="s">
        <v>503</v>
      </c>
      <c r="B127" s="52" t="s">
        <v>504</v>
      </c>
      <c r="C127" s="116"/>
      <c r="D127" s="117"/>
      <c r="E127" s="44"/>
      <c r="F127" s="44">
        <f>SUM(F128:F129)</f>
        <v>6300000</v>
      </c>
      <c r="G127" s="45">
        <f>SUM(G128:G129)</f>
        <v>1.4341106864309689E-2</v>
      </c>
      <c r="H127" s="132"/>
    </row>
    <row r="128" spans="1:8" ht="99.75">
      <c r="A128" s="46" t="s">
        <v>508</v>
      </c>
      <c r="B128" s="172" t="s">
        <v>702</v>
      </c>
      <c r="C128" s="118" t="s">
        <v>186</v>
      </c>
      <c r="D128" s="124">
        <v>30</v>
      </c>
      <c r="E128" s="48">
        <v>180000</v>
      </c>
      <c r="F128" s="48">
        <f t="shared" si="39"/>
        <v>5400000</v>
      </c>
      <c r="G128" s="49">
        <f t="shared" ref="G128:G129" si="42">F128/$F$141</f>
        <v>1.2292377312265448E-2</v>
      </c>
      <c r="H128" s="133"/>
    </row>
    <row r="129" spans="1:8" ht="71.25">
      <c r="A129" s="46" t="s">
        <v>509</v>
      </c>
      <c r="B129" s="172" t="s">
        <v>507</v>
      </c>
      <c r="C129" s="119" t="s">
        <v>505</v>
      </c>
      <c r="D129" s="124">
        <v>20</v>
      </c>
      <c r="E129" s="48">
        <v>45000</v>
      </c>
      <c r="F129" s="48">
        <f t="shared" si="39"/>
        <v>900000</v>
      </c>
      <c r="G129" s="49">
        <f t="shared" si="42"/>
        <v>2.0487295520442411E-3</v>
      </c>
      <c r="H129" s="133"/>
    </row>
    <row r="130" spans="1:8" ht="15">
      <c r="A130" s="41" t="s">
        <v>510</v>
      </c>
      <c r="B130" s="52" t="s">
        <v>511</v>
      </c>
      <c r="C130" s="116"/>
      <c r="D130" s="117"/>
      <c r="E130" s="44"/>
      <c r="F130" s="44">
        <f>SUM(F131:F132)</f>
        <v>1205000</v>
      </c>
      <c r="G130" s="45">
        <f>SUM(G131:G132)</f>
        <v>2.7430212335703454E-3</v>
      </c>
      <c r="H130" s="132"/>
    </row>
    <row r="131" spans="1:8" ht="72" customHeight="1">
      <c r="A131" s="46" t="s">
        <v>514</v>
      </c>
      <c r="B131" s="172" t="s">
        <v>512</v>
      </c>
      <c r="C131" s="118" t="s">
        <v>185</v>
      </c>
      <c r="D131" s="124">
        <v>3</v>
      </c>
      <c r="E131" s="48">
        <v>155000</v>
      </c>
      <c r="F131" s="48">
        <f t="shared" si="39"/>
        <v>465000</v>
      </c>
      <c r="G131" s="49">
        <f t="shared" ref="G131:G132" si="43">F131/$F$141</f>
        <v>1.0585102685561913E-3</v>
      </c>
      <c r="H131" s="133"/>
    </row>
    <row r="132" spans="1:8" ht="71.25">
      <c r="A132" s="46" t="s">
        <v>515</v>
      </c>
      <c r="B132" s="172" t="s">
        <v>513</v>
      </c>
      <c r="C132" s="118" t="s">
        <v>185</v>
      </c>
      <c r="D132" s="124">
        <v>2</v>
      </c>
      <c r="E132" s="48">
        <v>370000</v>
      </c>
      <c r="F132" s="48">
        <f t="shared" si="39"/>
        <v>740000</v>
      </c>
      <c r="G132" s="49">
        <f t="shared" si="43"/>
        <v>1.6845109650141538E-3</v>
      </c>
      <c r="H132" s="133"/>
    </row>
    <row r="133" spans="1:8" ht="15">
      <c r="A133" s="41" t="s">
        <v>516</v>
      </c>
      <c r="B133" s="52" t="s">
        <v>517</v>
      </c>
      <c r="C133" s="116"/>
      <c r="D133" s="117"/>
      <c r="E133" s="44"/>
      <c r="F133" s="44">
        <f>SUM(F134)</f>
        <v>1000000</v>
      </c>
      <c r="G133" s="45">
        <f>SUM(G134)</f>
        <v>2.276366168938046E-3</v>
      </c>
      <c r="H133" s="132"/>
    </row>
    <row r="134" spans="1:8" ht="42.75">
      <c r="A134" s="46" t="s">
        <v>519</v>
      </c>
      <c r="B134" s="172" t="s">
        <v>518</v>
      </c>
      <c r="C134" s="121" t="s">
        <v>187</v>
      </c>
      <c r="D134" s="126">
        <v>1</v>
      </c>
      <c r="E134" s="48">
        <v>1000000</v>
      </c>
      <c r="F134" s="48">
        <f t="shared" si="39"/>
        <v>1000000</v>
      </c>
      <c r="G134" s="49">
        <f>F134/$F$141</f>
        <v>2.276366168938046E-3</v>
      </c>
      <c r="H134" s="133"/>
    </row>
    <row r="135" spans="1:8" ht="15">
      <c r="A135" s="41" t="s">
        <v>522</v>
      </c>
      <c r="B135" s="52" t="s">
        <v>523</v>
      </c>
      <c r="C135" s="116"/>
      <c r="D135" s="117"/>
      <c r="E135" s="44"/>
      <c r="F135" s="44">
        <f>SUM(F136:F137)</f>
        <v>2300000</v>
      </c>
      <c r="G135" s="45">
        <f>SUM(G136:G137)</f>
        <v>5.2356421885575051E-3</v>
      </c>
      <c r="H135" s="132"/>
    </row>
    <row r="136" spans="1:8" ht="42.75">
      <c r="A136" s="46" t="s">
        <v>524</v>
      </c>
      <c r="B136" s="172" t="s">
        <v>520</v>
      </c>
      <c r="C136" s="122" t="s">
        <v>184</v>
      </c>
      <c r="D136" s="127">
        <v>50</v>
      </c>
      <c r="E136" s="48">
        <v>30000</v>
      </c>
      <c r="F136" s="48">
        <f t="shared" si="39"/>
        <v>1500000</v>
      </c>
      <c r="G136" s="49">
        <f t="shared" ref="G136:G137" si="44">F136/$F$141</f>
        <v>3.4145492534070686E-3</v>
      </c>
      <c r="H136" s="133"/>
    </row>
    <row r="137" spans="1:8" ht="42.75">
      <c r="A137" s="46" t="s">
        <v>525</v>
      </c>
      <c r="B137" s="172" t="s">
        <v>521</v>
      </c>
      <c r="C137" s="122" t="s">
        <v>185</v>
      </c>
      <c r="D137" s="127">
        <v>1</v>
      </c>
      <c r="E137" s="48">
        <v>800000</v>
      </c>
      <c r="F137" s="48">
        <f t="shared" si="39"/>
        <v>800000</v>
      </c>
      <c r="G137" s="49">
        <f t="shared" si="44"/>
        <v>1.8210929351504368E-3</v>
      </c>
      <c r="H137" s="133"/>
    </row>
    <row r="138" spans="1:8" ht="15">
      <c r="A138" s="142">
        <v>17</v>
      </c>
      <c r="B138" s="143" t="s">
        <v>586</v>
      </c>
      <c r="C138" s="144"/>
      <c r="D138" s="145"/>
      <c r="E138" s="146"/>
      <c r="F138" s="147">
        <f>SUM(F139:F140)</f>
        <v>17570750</v>
      </c>
      <c r="G138" s="148">
        <f>SUM(G139:G140)</f>
        <v>3.9997460862868164E-2</v>
      </c>
      <c r="H138" s="149"/>
    </row>
    <row r="139" spans="1:8" ht="44.25" customHeight="1">
      <c r="A139" s="46" t="s">
        <v>550</v>
      </c>
      <c r="B139" s="172" t="s">
        <v>552</v>
      </c>
      <c r="C139" s="53" t="s">
        <v>186</v>
      </c>
      <c r="D139" s="47">
        <v>29</v>
      </c>
      <c r="E139" s="48">
        <v>511749.99999999994</v>
      </c>
      <c r="F139" s="48">
        <f t="shared" ref="F139:F140" si="45">E139*D139</f>
        <v>14840749.999999998</v>
      </c>
      <c r="G139" s="49">
        <f>F139/$F$141</f>
        <v>3.3782981221667299E-2</v>
      </c>
      <c r="H139" s="133"/>
    </row>
    <row r="140" spans="1:8" ht="28.5">
      <c r="A140" s="46" t="s">
        <v>551</v>
      </c>
      <c r="B140" s="172" t="s">
        <v>553</v>
      </c>
      <c r="C140" s="53" t="s">
        <v>186</v>
      </c>
      <c r="D140" s="47">
        <v>39</v>
      </c>
      <c r="E140" s="48">
        <v>70000</v>
      </c>
      <c r="F140" s="48">
        <f t="shared" si="45"/>
        <v>2730000</v>
      </c>
      <c r="G140" s="49">
        <f>F140/$F$141</f>
        <v>6.2144796412008652E-3</v>
      </c>
      <c r="H140" s="133"/>
    </row>
    <row r="141" spans="1:8" ht="15">
      <c r="A141" s="55"/>
      <c r="B141" s="56"/>
      <c r="C141" s="55"/>
      <c r="D141" s="57"/>
      <c r="E141" s="58"/>
      <c r="F141" s="59">
        <f>+F4+F6+F8+F12+F14+F17+F27+F30+F35+F42+F49+F63+F75+F98+F108+F117+F138</f>
        <v>439296635.86000001</v>
      </c>
      <c r="G141" s="158">
        <f>+G4+G6+G8+G12+G14+G17+G27+G30+G35+G42+G49+G63+G75+G98+G108+G117+G138</f>
        <v>1</v>
      </c>
      <c r="H141" s="134"/>
    </row>
    <row r="142" spans="1:8" ht="4.9000000000000004" customHeight="1">
      <c r="A142" s="60"/>
      <c r="C142" s="60"/>
      <c r="D142" s="60"/>
      <c r="E142" s="60"/>
      <c r="F142" s="62"/>
      <c r="G142" s="60"/>
      <c r="H142" s="135"/>
    </row>
    <row r="143" spans="1:8" s="63" customFormat="1" ht="15" customHeight="1">
      <c r="B143" s="61"/>
      <c r="C143" s="198" t="s">
        <v>169</v>
      </c>
      <c r="D143" s="198"/>
      <c r="E143" s="64">
        <v>0.2</v>
      </c>
      <c r="F143" s="65">
        <f>+$F$141*E143</f>
        <v>87859327.172000006</v>
      </c>
      <c r="G143" s="66"/>
      <c r="H143" s="136"/>
    </row>
    <row r="144" spans="1:8" s="63" customFormat="1" ht="15" customHeight="1">
      <c r="B144" s="61"/>
      <c r="C144" s="198" t="s">
        <v>139</v>
      </c>
      <c r="D144" s="198"/>
      <c r="E144" s="64">
        <v>0</v>
      </c>
      <c r="F144" s="65">
        <f>+$F$141*E144</f>
        <v>0</v>
      </c>
      <c r="G144" s="66"/>
      <c r="H144" s="136"/>
    </row>
    <row r="145" spans="1:8" s="63" customFormat="1" ht="15" customHeight="1">
      <c r="B145" s="61"/>
      <c r="C145" s="198" t="s">
        <v>138</v>
      </c>
      <c r="D145" s="198"/>
      <c r="E145" s="64">
        <v>0.06</v>
      </c>
      <c r="F145" s="65">
        <f>+$F$141*E145</f>
        <v>26357798.1516</v>
      </c>
      <c r="G145" s="171">
        <f>F145+F143</f>
        <v>114217125.32360001</v>
      </c>
      <c r="H145" s="136"/>
    </row>
    <row r="146" spans="1:8" s="63" customFormat="1" ht="15" customHeight="1">
      <c r="B146" s="61"/>
      <c r="C146" s="198" t="s">
        <v>170</v>
      </c>
      <c r="D146" s="198"/>
      <c r="E146" s="64">
        <v>0</v>
      </c>
      <c r="F146" s="65">
        <f>+F145*E146</f>
        <v>0</v>
      </c>
      <c r="G146" s="66"/>
      <c r="H146" s="136"/>
    </row>
    <row r="147" spans="1:8" s="63" customFormat="1" ht="4.9000000000000004" customHeight="1">
      <c r="B147" s="67"/>
      <c r="C147" s="68"/>
      <c r="D147" s="68"/>
      <c r="E147" s="69"/>
      <c r="F147" s="70"/>
      <c r="G147" s="40"/>
      <c r="H147" s="137"/>
    </row>
    <row r="148" spans="1:8" s="63" customFormat="1" ht="15">
      <c r="A148" s="71"/>
      <c r="B148" s="61"/>
      <c r="C148" s="199" t="s">
        <v>171</v>
      </c>
      <c r="D148" s="199"/>
      <c r="E148" s="199"/>
      <c r="F148" s="72">
        <f>+F141+F143+F144+F145+F146</f>
        <v>553513761.18359995</v>
      </c>
      <c r="G148" s="66"/>
      <c r="H148" s="136"/>
    </row>
    <row r="149" spans="1:8" s="78" customFormat="1" ht="14.25" customHeight="1">
      <c r="A149" s="73"/>
      <c r="B149" s="74"/>
      <c r="C149" s="73"/>
      <c r="D149" s="75"/>
      <c r="E149" s="73"/>
      <c r="F149" s="76">
        <v>1</v>
      </c>
      <c r="G149" s="77"/>
      <c r="H149" s="138"/>
    </row>
    <row r="150" spans="1:8">
      <c r="G150" s="81"/>
      <c r="H150" s="139"/>
    </row>
    <row r="151" spans="1:8">
      <c r="A151" s="61"/>
      <c r="C151" s="61"/>
      <c r="D151" s="61"/>
      <c r="E151" s="83" t="s">
        <v>174</v>
      </c>
      <c r="F151" s="85">
        <v>130</v>
      </c>
      <c r="G151" s="61"/>
      <c r="H151" s="140"/>
    </row>
    <row r="152" spans="1:8">
      <c r="E152" s="84" t="s">
        <v>175</v>
      </c>
      <c r="F152" s="86">
        <f>+F141/F151</f>
        <v>3379204.8912307695</v>
      </c>
      <c r="G152" s="81"/>
      <c r="H152" s="139"/>
    </row>
    <row r="153" spans="1:8">
      <c r="E153" s="84" t="s">
        <v>175</v>
      </c>
      <c r="F153" s="86">
        <f>+F148/F151</f>
        <v>4257798.1629507691</v>
      </c>
      <c r="G153" s="81"/>
      <c r="H153" s="139"/>
    </row>
    <row r="154" spans="1:8">
      <c r="G154" s="81"/>
      <c r="H154" s="139"/>
    </row>
    <row r="156" spans="1:8">
      <c r="F156" s="82"/>
    </row>
  </sheetData>
  <protectedRanges>
    <protectedRange sqref="A1:A2 I1:XFD2" name="Rango1_1_2"/>
  </protectedRanges>
  <mergeCells count="5">
    <mergeCell ref="C146:D146"/>
    <mergeCell ref="C148:E148"/>
    <mergeCell ref="C143:D143"/>
    <mergeCell ref="C144:D144"/>
    <mergeCell ref="C145:D145"/>
  </mergeCells>
  <phoneticPr fontId="47" type="noConversion"/>
  <pageMargins left="0.70866141732283472" right="0.70866141732283472" top="1.5748031496062993" bottom="0.74803149606299213" header="0.59055118110236227" footer="0.31496062992125984"/>
  <pageSetup scale="53" fitToHeight="0" orientation="portrait" horizontalDpi="4294967293" r:id="rId1"/>
  <headerFooter alignWithMargins="0">
    <oddHeader xml:space="preserve">&amp;L
Proyecto: SERVICIO TOMOGRAFIA 
Cliente: E.S.E. SAN RAFAEL DE YOLOMBO
Anexo: Presupuesto obra civil, hidro-sanitario y aire acondicionado&amp;R
</oddHeader>
    <oddFooter>&amp;L&amp;D&amp;R&amp;N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3"/>
  <sheetViews>
    <sheetView tabSelected="1" topLeftCell="A1897" zoomScale="80" zoomScaleNormal="80" workbookViewId="0">
      <selection activeCell="I1910" sqref="I1910"/>
    </sheetView>
  </sheetViews>
  <sheetFormatPr baseColWidth="10" defaultRowHeight="15"/>
  <cols>
    <col min="1" max="1" width="65.85546875" customWidth="1"/>
    <col min="2" max="2" width="9.42578125" customWidth="1"/>
    <col min="3" max="3" width="10.42578125" customWidth="1"/>
    <col min="4" max="4" width="15.28515625" customWidth="1"/>
    <col min="5" max="5" width="17.42578125" customWidth="1"/>
  </cols>
  <sheetData>
    <row r="1" spans="1:5" ht="20.25">
      <c r="A1" s="200" t="s">
        <v>216</v>
      </c>
      <c r="B1" s="201"/>
      <c r="C1" s="201"/>
      <c r="D1" s="201"/>
      <c r="E1" s="202"/>
    </row>
    <row r="2" spans="1:5">
      <c r="A2" s="203"/>
      <c r="B2" s="204"/>
      <c r="C2" s="205"/>
      <c r="D2" s="90" t="s">
        <v>199</v>
      </c>
      <c r="E2" s="90" t="s">
        <v>164</v>
      </c>
    </row>
    <row r="3" spans="1:5">
      <c r="A3" s="207"/>
      <c r="B3" s="208"/>
      <c r="C3" s="206"/>
      <c r="D3" s="91" t="s">
        <v>191</v>
      </c>
      <c r="E3" s="91" t="s">
        <v>189</v>
      </c>
    </row>
    <row r="4" spans="1:5" ht="15.75">
      <c r="A4" s="209" t="s">
        <v>200</v>
      </c>
      <c r="B4" s="209"/>
      <c r="C4" s="209"/>
      <c r="D4" s="209"/>
      <c r="E4" s="209"/>
    </row>
    <row r="5" spans="1:5" ht="45.75" customHeight="1">
      <c r="A5" s="227" t="s">
        <v>198</v>
      </c>
      <c r="B5" s="228"/>
      <c r="C5" s="228"/>
      <c r="D5" s="228"/>
      <c r="E5" s="229"/>
    </row>
    <row r="6" spans="1:5">
      <c r="A6" s="92" t="s">
        <v>201</v>
      </c>
      <c r="B6" s="93" t="s">
        <v>164</v>
      </c>
      <c r="C6" s="93" t="s">
        <v>2</v>
      </c>
      <c r="D6" s="93" t="s">
        <v>202</v>
      </c>
      <c r="E6" s="93" t="s">
        <v>203</v>
      </c>
    </row>
    <row r="7" spans="1:5" ht="25.5">
      <c r="A7" s="173" t="s">
        <v>204</v>
      </c>
      <c r="B7" s="95" t="s">
        <v>184</v>
      </c>
      <c r="C7" s="96">
        <v>1</v>
      </c>
      <c r="D7" s="97">
        <f>361900/100</f>
        <v>3619</v>
      </c>
      <c r="E7" s="98">
        <f>ROUND(C7*D7,0)</f>
        <v>3619</v>
      </c>
    </row>
    <row r="8" spans="1:5" ht="25.5">
      <c r="A8" s="173" t="s">
        <v>205</v>
      </c>
      <c r="B8" s="95" t="s">
        <v>184</v>
      </c>
      <c r="C8" s="96">
        <v>1</v>
      </c>
      <c r="D8" s="97">
        <v>1941</v>
      </c>
      <c r="E8" s="98">
        <f>ROUND(C8*D8,0)</f>
        <v>1941</v>
      </c>
    </row>
    <row r="9" spans="1:5">
      <c r="A9" s="94" t="s">
        <v>206</v>
      </c>
      <c r="B9" s="95" t="s">
        <v>185</v>
      </c>
      <c r="C9" s="96">
        <v>1</v>
      </c>
      <c r="D9" s="97">
        <v>6690</v>
      </c>
      <c r="E9" s="98">
        <f>ROUND(C9*D9,0)</f>
        <v>6690</v>
      </c>
    </row>
    <row r="10" spans="1:5">
      <c r="A10" s="94" t="s">
        <v>240</v>
      </c>
      <c r="B10" s="95" t="s">
        <v>207</v>
      </c>
      <c r="C10" s="96">
        <v>0.01</v>
      </c>
      <c r="D10" s="97">
        <v>4900</v>
      </c>
      <c r="E10" s="98">
        <f>ROUND(C10*D10,0)</f>
        <v>49</v>
      </c>
    </row>
    <row r="11" spans="1:5">
      <c r="A11" s="94" t="s">
        <v>208</v>
      </c>
      <c r="B11" s="95" t="s">
        <v>188</v>
      </c>
      <c r="C11" s="96">
        <v>1.6406E-2</v>
      </c>
      <c r="D11" s="97">
        <v>450000</v>
      </c>
      <c r="E11" s="98">
        <f>ROUND(C11*D11,0)</f>
        <v>7383</v>
      </c>
    </row>
    <row r="12" spans="1:5">
      <c r="A12" s="99"/>
      <c r="B12" s="101">
        <f>+E12/D22</f>
        <v>0.65606666666666669</v>
      </c>
      <c r="C12" s="98"/>
      <c r="D12" s="99" t="s">
        <v>209</v>
      </c>
      <c r="E12" s="100">
        <f>SUM(E7:E11)</f>
        <v>19682</v>
      </c>
    </row>
    <row r="13" spans="1:5">
      <c r="A13" s="92" t="s">
        <v>210</v>
      </c>
      <c r="B13" s="93" t="s">
        <v>164</v>
      </c>
      <c r="C13" s="93" t="s">
        <v>2</v>
      </c>
      <c r="D13" s="93" t="s">
        <v>202</v>
      </c>
      <c r="E13" s="93" t="s">
        <v>203</v>
      </c>
    </row>
    <row r="14" spans="1:5">
      <c r="A14" s="94" t="s">
        <v>211</v>
      </c>
      <c r="B14" s="95" t="s">
        <v>212</v>
      </c>
      <c r="C14" s="96">
        <v>0.05</v>
      </c>
      <c r="D14" s="97">
        <v>171670</v>
      </c>
      <c r="E14" s="98">
        <f>ROUND(C14*D14,0)</f>
        <v>8584</v>
      </c>
    </row>
    <row r="15" spans="1:5">
      <c r="A15" s="99"/>
      <c r="B15" s="101">
        <f>+E15/D22</f>
        <v>0.28613333333333335</v>
      </c>
      <c r="C15" s="98"/>
      <c r="D15" s="99" t="s">
        <v>209</v>
      </c>
      <c r="E15" s="100">
        <f>+E14</f>
        <v>8584</v>
      </c>
    </row>
    <row r="16" spans="1:5">
      <c r="A16" s="92" t="s">
        <v>218</v>
      </c>
      <c r="B16" s="93" t="s">
        <v>164</v>
      </c>
      <c r="C16" s="93" t="s">
        <v>2</v>
      </c>
      <c r="D16" s="93" t="s">
        <v>202</v>
      </c>
      <c r="E16" s="93" t="s">
        <v>203</v>
      </c>
    </row>
    <row r="17" spans="1:5">
      <c r="A17" s="94" t="s">
        <v>213</v>
      </c>
      <c r="B17" s="95" t="s">
        <v>214</v>
      </c>
      <c r="C17" s="96">
        <v>0.05</v>
      </c>
      <c r="D17" s="97">
        <f>+E12</f>
        <v>19682</v>
      </c>
      <c r="E17" s="98">
        <f>ROUND(C17*D17,0)</f>
        <v>984</v>
      </c>
    </row>
    <row r="18" spans="1:5">
      <c r="A18" s="99"/>
      <c r="B18" s="101">
        <f>+E18/D22</f>
        <v>3.2800000000000003E-2</v>
      </c>
      <c r="C18" s="98"/>
      <c r="D18" s="99" t="s">
        <v>209</v>
      </c>
      <c r="E18" s="100">
        <f>+E17</f>
        <v>984</v>
      </c>
    </row>
    <row r="19" spans="1:5">
      <c r="A19" s="92" t="s">
        <v>219</v>
      </c>
      <c r="B19" s="93" t="s">
        <v>164</v>
      </c>
      <c r="C19" s="93" t="s">
        <v>2</v>
      </c>
      <c r="D19" s="93" t="s">
        <v>202</v>
      </c>
      <c r="E19" s="93" t="s">
        <v>203</v>
      </c>
    </row>
    <row r="20" spans="1:5">
      <c r="A20" s="94" t="s">
        <v>217</v>
      </c>
      <c r="B20" s="95" t="s">
        <v>184</v>
      </c>
      <c r="C20" s="96">
        <v>0.01</v>
      </c>
      <c r="D20" s="97">
        <v>75000</v>
      </c>
      <c r="E20" s="98">
        <f>ROUND(C20*D20,0)</f>
        <v>750</v>
      </c>
    </row>
    <row r="21" spans="1:5">
      <c r="A21" s="99"/>
      <c r="B21" s="101">
        <f>+E21/D22</f>
        <v>2.5000000000000001E-2</v>
      </c>
      <c r="C21" s="98"/>
      <c r="D21" s="99" t="s">
        <v>209</v>
      </c>
      <c r="E21" s="100">
        <f>+E20</f>
        <v>750</v>
      </c>
    </row>
    <row r="22" spans="1:5">
      <c r="A22" s="213" t="s">
        <v>215</v>
      </c>
      <c r="B22" s="213"/>
      <c r="C22" s="213"/>
      <c r="D22" s="214">
        <f>+E21+E18+E15+E12</f>
        <v>30000</v>
      </c>
      <c r="E22" s="214"/>
    </row>
    <row r="24" spans="1:5" ht="20.25">
      <c r="A24" s="200" t="s">
        <v>216</v>
      </c>
      <c r="B24" s="201"/>
      <c r="C24" s="201"/>
      <c r="D24" s="201"/>
      <c r="E24" s="202"/>
    </row>
    <row r="25" spans="1:5">
      <c r="A25" s="203"/>
      <c r="B25" s="204"/>
      <c r="C25" s="205"/>
      <c r="D25" s="90" t="s">
        <v>199</v>
      </c>
      <c r="E25" s="90" t="s">
        <v>164</v>
      </c>
    </row>
    <row r="26" spans="1:5">
      <c r="A26" s="207"/>
      <c r="B26" s="208"/>
      <c r="C26" s="206"/>
      <c r="D26" s="91" t="s">
        <v>160</v>
      </c>
      <c r="E26" s="91" t="s">
        <v>164</v>
      </c>
    </row>
    <row r="27" spans="1:5" ht="15.75">
      <c r="A27" s="209" t="s">
        <v>200</v>
      </c>
      <c r="B27" s="209"/>
      <c r="C27" s="209"/>
      <c r="D27" s="209"/>
      <c r="E27" s="209"/>
    </row>
    <row r="28" spans="1:5" ht="30" customHeight="1">
      <c r="A28" s="210" t="s">
        <v>176</v>
      </c>
      <c r="B28" s="211"/>
      <c r="C28" s="211"/>
      <c r="D28" s="211"/>
      <c r="E28" s="212"/>
    </row>
    <row r="29" spans="1:5">
      <c r="A29" s="92" t="s">
        <v>201</v>
      </c>
      <c r="B29" s="93" t="s">
        <v>164</v>
      </c>
      <c r="C29" s="93" t="s">
        <v>2</v>
      </c>
      <c r="D29" s="93" t="s">
        <v>202</v>
      </c>
      <c r="E29" s="93" t="s">
        <v>203</v>
      </c>
    </row>
    <row r="30" spans="1:5">
      <c r="A30" s="94"/>
      <c r="B30" s="95"/>
      <c r="C30" s="96">
        <v>0</v>
      </c>
      <c r="D30" s="97">
        <v>0</v>
      </c>
      <c r="E30" s="98">
        <f>ROUND(C30*D30,0)</f>
        <v>0</v>
      </c>
    </row>
    <row r="31" spans="1:5">
      <c r="A31" s="94"/>
      <c r="B31" s="95"/>
      <c r="C31" s="96">
        <v>0</v>
      </c>
      <c r="D31" s="97">
        <v>0</v>
      </c>
      <c r="E31" s="98">
        <f>ROUND(C31*D31,0)</f>
        <v>0</v>
      </c>
    </row>
    <row r="32" spans="1:5">
      <c r="A32" s="99"/>
      <c r="B32" s="101">
        <f>+E32/D42</f>
        <v>0</v>
      </c>
      <c r="C32" s="98"/>
      <c r="D32" s="99" t="s">
        <v>209</v>
      </c>
      <c r="E32" s="100">
        <f>SUM(E30:E31)</f>
        <v>0</v>
      </c>
    </row>
    <row r="33" spans="1:5">
      <c r="A33" s="92" t="s">
        <v>210</v>
      </c>
      <c r="B33" s="93" t="s">
        <v>164</v>
      </c>
      <c r="C33" s="93" t="s">
        <v>2</v>
      </c>
      <c r="D33" s="93" t="s">
        <v>202</v>
      </c>
      <c r="E33" s="93" t="s">
        <v>203</v>
      </c>
    </row>
    <row r="34" spans="1:5">
      <c r="A34" s="94" t="s">
        <v>211</v>
      </c>
      <c r="B34" s="95" t="s">
        <v>212</v>
      </c>
      <c r="C34" s="96">
        <v>0.16365499999999999</v>
      </c>
      <c r="D34" s="97">
        <v>171670</v>
      </c>
      <c r="E34" s="98">
        <f>ROUND(C34*D34,0)</f>
        <v>28095</v>
      </c>
    </row>
    <row r="35" spans="1:5">
      <c r="A35" s="99"/>
      <c r="B35" s="101">
        <f>+E35/D42</f>
        <v>0.9365</v>
      </c>
      <c r="C35" s="98"/>
      <c r="D35" s="99" t="s">
        <v>209</v>
      </c>
      <c r="E35" s="100">
        <f>+E34</f>
        <v>28095</v>
      </c>
    </row>
    <row r="36" spans="1:5">
      <c r="A36" s="92" t="s">
        <v>218</v>
      </c>
      <c r="B36" s="93" t="s">
        <v>164</v>
      </c>
      <c r="C36" s="93" t="s">
        <v>2</v>
      </c>
      <c r="D36" s="93" t="s">
        <v>202</v>
      </c>
      <c r="E36" s="93" t="s">
        <v>203</v>
      </c>
    </row>
    <row r="37" spans="1:5">
      <c r="A37" s="94" t="s">
        <v>213</v>
      </c>
      <c r="B37" s="95" t="s">
        <v>214</v>
      </c>
      <c r="C37" s="96">
        <v>0.05</v>
      </c>
      <c r="D37" s="97">
        <f>+E35</f>
        <v>28095</v>
      </c>
      <c r="E37" s="98">
        <f>ROUND(C37*D37,0)</f>
        <v>1405</v>
      </c>
    </row>
    <row r="38" spans="1:5">
      <c r="A38" s="99"/>
      <c r="B38" s="101">
        <f>+E38/D42</f>
        <v>4.6833333333333331E-2</v>
      </c>
      <c r="C38" s="98"/>
      <c r="D38" s="99" t="s">
        <v>209</v>
      </c>
      <c r="E38" s="100">
        <f>+E37</f>
        <v>1405</v>
      </c>
    </row>
    <row r="39" spans="1:5">
      <c r="A39" s="92" t="s">
        <v>219</v>
      </c>
      <c r="B39" s="93" t="s">
        <v>164</v>
      </c>
      <c r="C39" s="93" t="s">
        <v>2</v>
      </c>
      <c r="D39" s="93" t="s">
        <v>202</v>
      </c>
      <c r="E39" s="93" t="s">
        <v>203</v>
      </c>
    </row>
    <row r="40" spans="1:5">
      <c r="A40" s="94" t="s">
        <v>217</v>
      </c>
      <c r="B40" s="95" t="s">
        <v>184</v>
      </c>
      <c r="C40" s="96">
        <v>0.01</v>
      </c>
      <c r="D40" s="97">
        <v>50000</v>
      </c>
      <c r="E40" s="98">
        <f>ROUND(C40*D40,0)</f>
        <v>500</v>
      </c>
    </row>
    <row r="41" spans="1:5">
      <c r="A41" s="99"/>
      <c r="B41" s="101">
        <f>+E41/D42</f>
        <v>1.6666666666666666E-2</v>
      </c>
      <c r="C41" s="98"/>
      <c r="D41" s="99" t="s">
        <v>209</v>
      </c>
      <c r="E41" s="100">
        <f>+E40</f>
        <v>500</v>
      </c>
    </row>
    <row r="42" spans="1:5">
      <c r="A42" s="213" t="s">
        <v>215</v>
      </c>
      <c r="B42" s="213"/>
      <c r="C42" s="213"/>
      <c r="D42" s="214">
        <f>+E41+E38+E35+E32</f>
        <v>30000</v>
      </c>
      <c r="E42" s="214"/>
    </row>
    <row r="44" spans="1:5" ht="20.25">
      <c r="A44" s="200" t="s">
        <v>216</v>
      </c>
      <c r="B44" s="201"/>
      <c r="C44" s="201"/>
      <c r="D44" s="201"/>
      <c r="E44" s="202"/>
    </row>
    <row r="45" spans="1:5">
      <c r="A45" s="203"/>
      <c r="B45" s="204"/>
      <c r="C45" s="205"/>
      <c r="D45" s="90" t="s">
        <v>199</v>
      </c>
      <c r="E45" s="90" t="s">
        <v>164</v>
      </c>
    </row>
    <row r="46" spans="1:5">
      <c r="A46" s="207"/>
      <c r="B46" s="208"/>
      <c r="C46" s="206"/>
      <c r="D46" s="91" t="s">
        <v>159</v>
      </c>
      <c r="E46" s="91" t="s">
        <v>186</v>
      </c>
    </row>
    <row r="47" spans="1:5" ht="15.75">
      <c r="A47" s="209" t="s">
        <v>200</v>
      </c>
      <c r="B47" s="209"/>
      <c r="C47" s="209"/>
      <c r="D47" s="209"/>
      <c r="E47" s="209"/>
    </row>
    <row r="48" spans="1:5" ht="60.75" customHeight="1">
      <c r="A48" s="210" t="s">
        <v>192</v>
      </c>
      <c r="B48" s="211"/>
      <c r="C48" s="211"/>
      <c r="D48" s="211"/>
      <c r="E48" s="212"/>
    </row>
    <row r="49" spans="1:5">
      <c r="A49" s="92" t="s">
        <v>201</v>
      </c>
      <c r="B49" s="93" t="s">
        <v>164</v>
      </c>
      <c r="C49" s="93" t="s">
        <v>2</v>
      </c>
      <c r="D49" s="93" t="s">
        <v>202</v>
      </c>
      <c r="E49" s="93" t="s">
        <v>203</v>
      </c>
    </row>
    <row r="50" spans="1:5">
      <c r="A50" s="94"/>
      <c r="B50" s="95"/>
      <c r="C50" s="96">
        <v>0</v>
      </c>
      <c r="D50" s="97">
        <v>0</v>
      </c>
      <c r="E50" s="98">
        <f>ROUND(C50*D50,0)</f>
        <v>0</v>
      </c>
    </row>
    <row r="51" spans="1:5">
      <c r="A51" s="94"/>
      <c r="B51" s="95"/>
      <c r="C51" s="96">
        <v>0</v>
      </c>
      <c r="D51" s="97">
        <v>0</v>
      </c>
      <c r="E51" s="98">
        <f>ROUND(C51*D51,0)</f>
        <v>0</v>
      </c>
    </row>
    <row r="52" spans="1:5">
      <c r="A52" s="99"/>
      <c r="B52" s="101">
        <f>+E52/D63</f>
        <v>0</v>
      </c>
      <c r="C52" s="98"/>
      <c r="D52" s="99" t="s">
        <v>209</v>
      </c>
      <c r="E52" s="100">
        <f>SUM(E50:E51)</f>
        <v>0</v>
      </c>
    </row>
    <row r="53" spans="1:5">
      <c r="A53" s="92" t="s">
        <v>210</v>
      </c>
      <c r="B53" s="93" t="s">
        <v>164</v>
      </c>
      <c r="C53" s="93" t="s">
        <v>2</v>
      </c>
      <c r="D53" s="93" t="s">
        <v>202</v>
      </c>
      <c r="E53" s="93" t="s">
        <v>203</v>
      </c>
    </row>
    <row r="54" spans="1:5">
      <c r="A54" s="94" t="s">
        <v>211</v>
      </c>
      <c r="B54" s="95" t="s">
        <v>212</v>
      </c>
      <c r="C54" s="96">
        <v>0.13037000000000001</v>
      </c>
      <c r="D54" s="97">
        <v>171670</v>
      </c>
      <c r="E54" s="98">
        <f>ROUND(C54*D54,0)</f>
        <v>22381</v>
      </c>
    </row>
    <row r="55" spans="1:5">
      <c r="A55" s="99"/>
      <c r="B55" s="101">
        <f>+E55/D63</f>
        <v>0.74603333333333333</v>
      </c>
      <c r="C55" s="98"/>
      <c r="D55" s="99" t="s">
        <v>209</v>
      </c>
      <c r="E55" s="100">
        <f>+E54</f>
        <v>22381</v>
      </c>
    </row>
    <row r="56" spans="1:5">
      <c r="A56" s="92" t="s">
        <v>218</v>
      </c>
      <c r="B56" s="93" t="s">
        <v>164</v>
      </c>
      <c r="C56" s="93" t="s">
        <v>2</v>
      </c>
      <c r="D56" s="93" t="s">
        <v>202</v>
      </c>
      <c r="E56" s="93" t="s">
        <v>203</v>
      </c>
    </row>
    <row r="57" spans="1:5">
      <c r="A57" s="94" t="s">
        <v>213</v>
      </c>
      <c r="B57" s="95" t="s">
        <v>214</v>
      </c>
      <c r="C57" s="96">
        <v>0.05</v>
      </c>
      <c r="D57" s="97">
        <f>+E55</f>
        <v>22381</v>
      </c>
      <c r="E57" s="98">
        <f>ROUND(C57*D57,0)</f>
        <v>1119</v>
      </c>
    </row>
    <row r="58" spans="1:5">
      <c r="A58" s="94" t="s">
        <v>231</v>
      </c>
      <c r="B58" s="95" t="s">
        <v>230</v>
      </c>
      <c r="C58" s="96">
        <v>0.15</v>
      </c>
      <c r="D58" s="97">
        <v>40000</v>
      </c>
      <c r="E58" s="98">
        <f>ROUND(C58*D58,0)</f>
        <v>6000</v>
      </c>
    </row>
    <row r="59" spans="1:5">
      <c r="A59" s="99"/>
      <c r="B59" s="101">
        <f>+E59/D63</f>
        <v>0.23730000000000001</v>
      </c>
      <c r="C59" s="98"/>
      <c r="D59" s="99" t="s">
        <v>209</v>
      </c>
      <c r="E59" s="100">
        <f>SUM(E57:E58)</f>
        <v>7119</v>
      </c>
    </row>
    <row r="60" spans="1:5">
      <c r="A60" s="92" t="s">
        <v>219</v>
      </c>
      <c r="B60" s="93" t="s">
        <v>164</v>
      </c>
      <c r="C60" s="93" t="s">
        <v>2</v>
      </c>
      <c r="D60" s="93" t="s">
        <v>202</v>
      </c>
      <c r="E60" s="93" t="s">
        <v>203</v>
      </c>
    </row>
    <row r="61" spans="1:5">
      <c r="A61" s="94" t="s">
        <v>217</v>
      </c>
      <c r="B61" s="95" t="s">
        <v>184</v>
      </c>
      <c r="C61" s="96">
        <v>0.01</v>
      </c>
      <c r="D61" s="97">
        <v>50000</v>
      </c>
      <c r="E61" s="98">
        <f>ROUND(C61*D61,0)</f>
        <v>500</v>
      </c>
    </row>
    <row r="62" spans="1:5">
      <c r="A62" s="99"/>
      <c r="B62" s="101">
        <f>+E62/D63</f>
        <v>1.6666666666666666E-2</v>
      </c>
      <c r="C62" s="98"/>
      <c r="D62" s="99" t="s">
        <v>209</v>
      </c>
      <c r="E62" s="100">
        <f>+E61</f>
        <v>500</v>
      </c>
    </row>
    <row r="63" spans="1:5">
      <c r="A63" s="213" t="s">
        <v>215</v>
      </c>
      <c r="B63" s="213"/>
      <c r="C63" s="213"/>
      <c r="D63" s="214">
        <f>+E62+E59+E55+E52</f>
        <v>30000</v>
      </c>
      <c r="E63" s="214"/>
    </row>
    <row r="65" spans="1:5" ht="20.25">
      <c r="A65" s="200" t="s">
        <v>216</v>
      </c>
      <c r="B65" s="201"/>
      <c r="C65" s="201"/>
      <c r="D65" s="201"/>
      <c r="E65" s="202"/>
    </row>
    <row r="66" spans="1:5">
      <c r="A66" s="203"/>
      <c r="B66" s="204"/>
      <c r="C66" s="205"/>
      <c r="D66" s="90" t="s">
        <v>199</v>
      </c>
      <c r="E66" s="90" t="s">
        <v>164</v>
      </c>
    </row>
    <row r="67" spans="1:5">
      <c r="A67" s="207"/>
      <c r="B67" s="208"/>
      <c r="C67" s="206"/>
      <c r="D67" s="91" t="s">
        <v>158</v>
      </c>
      <c r="E67" s="91" t="s">
        <v>189</v>
      </c>
    </row>
    <row r="68" spans="1:5" ht="15.75">
      <c r="A68" s="209" t="s">
        <v>200</v>
      </c>
      <c r="B68" s="209"/>
      <c r="C68" s="209"/>
      <c r="D68" s="209"/>
      <c r="E68" s="209"/>
    </row>
    <row r="69" spans="1:5" ht="54" customHeight="1">
      <c r="A69" s="210" t="s">
        <v>272</v>
      </c>
      <c r="B69" s="211"/>
      <c r="C69" s="211"/>
      <c r="D69" s="211"/>
      <c r="E69" s="212"/>
    </row>
    <row r="70" spans="1:5">
      <c r="A70" s="92" t="s">
        <v>201</v>
      </c>
      <c r="B70" s="93" t="s">
        <v>164</v>
      </c>
      <c r="C70" s="93" t="s">
        <v>2</v>
      </c>
      <c r="D70" s="93" t="s">
        <v>202</v>
      </c>
      <c r="E70" s="93" t="s">
        <v>203</v>
      </c>
    </row>
    <row r="71" spans="1:5">
      <c r="A71" s="94"/>
      <c r="B71" s="95"/>
      <c r="C71" s="96">
        <v>0</v>
      </c>
      <c r="D71" s="97">
        <v>0</v>
      </c>
      <c r="E71" s="98">
        <f>ROUND(C71*D71,0)</f>
        <v>0</v>
      </c>
    </row>
    <row r="72" spans="1:5">
      <c r="A72" s="94"/>
      <c r="B72" s="95"/>
      <c r="C72" s="96">
        <v>0</v>
      </c>
      <c r="D72" s="97">
        <v>0</v>
      </c>
      <c r="E72" s="98">
        <f>ROUND(C72*D72,0)</f>
        <v>0</v>
      </c>
    </row>
    <row r="73" spans="1:5">
      <c r="A73" s="99"/>
      <c r="B73" s="101">
        <f>+E73/D84</f>
        <v>0</v>
      </c>
      <c r="C73" s="98"/>
      <c r="D73" s="99" t="s">
        <v>209</v>
      </c>
      <c r="E73" s="100">
        <f>SUM(E71:E72)</f>
        <v>0</v>
      </c>
    </row>
    <row r="74" spans="1:5">
      <c r="A74" s="92" t="s">
        <v>210</v>
      </c>
      <c r="B74" s="93" t="s">
        <v>164</v>
      </c>
      <c r="C74" s="93" t="s">
        <v>2</v>
      </c>
      <c r="D74" s="93" t="s">
        <v>202</v>
      </c>
      <c r="E74" s="93" t="s">
        <v>203</v>
      </c>
    </row>
    <row r="75" spans="1:5">
      <c r="A75" s="94" t="s">
        <v>211</v>
      </c>
      <c r="B75" s="95" t="s">
        <v>212</v>
      </c>
      <c r="C75" s="96">
        <v>0.102635</v>
      </c>
      <c r="D75" s="97">
        <v>171670</v>
      </c>
      <c r="E75" s="98">
        <f>ROUND(C75*D75,0)</f>
        <v>17619</v>
      </c>
    </row>
    <row r="76" spans="1:5">
      <c r="A76" s="99"/>
      <c r="B76" s="101">
        <f>+E76/D84</f>
        <v>0.70476000000000005</v>
      </c>
      <c r="C76" s="98"/>
      <c r="D76" s="99" t="s">
        <v>209</v>
      </c>
      <c r="E76" s="100">
        <f>+E75</f>
        <v>17619</v>
      </c>
    </row>
    <row r="77" spans="1:5">
      <c r="A77" s="92" t="s">
        <v>218</v>
      </c>
      <c r="B77" s="93" t="s">
        <v>164</v>
      </c>
      <c r="C77" s="93" t="s">
        <v>2</v>
      </c>
      <c r="D77" s="93" t="s">
        <v>202</v>
      </c>
      <c r="E77" s="93" t="s">
        <v>203</v>
      </c>
    </row>
    <row r="78" spans="1:5">
      <c r="A78" s="94" t="s">
        <v>213</v>
      </c>
      <c r="B78" s="95" t="s">
        <v>214</v>
      </c>
      <c r="C78" s="96">
        <v>0.05</v>
      </c>
      <c r="D78" s="97">
        <f>+E76</f>
        <v>17619</v>
      </c>
      <c r="E78" s="98">
        <f>ROUND(C78*D78,0)</f>
        <v>881</v>
      </c>
    </row>
    <row r="79" spans="1:5">
      <c r="A79" s="94" t="s">
        <v>231</v>
      </c>
      <c r="B79" s="95" t="s">
        <v>230</v>
      </c>
      <c r="C79" s="96">
        <v>0.15</v>
      </c>
      <c r="D79" s="97">
        <v>40000</v>
      </c>
      <c r="E79" s="98">
        <f>ROUND(C79*D79,0)</f>
        <v>6000</v>
      </c>
    </row>
    <row r="80" spans="1:5">
      <c r="A80" s="99"/>
      <c r="B80" s="101">
        <f>+E80/D84</f>
        <v>0.27523999999999998</v>
      </c>
      <c r="C80" s="98"/>
      <c r="D80" s="99" t="s">
        <v>209</v>
      </c>
      <c r="E80" s="100">
        <f>SUM(E78:E79)</f>
        <v>6881</v>
      </c>
    </row>
    <row r="81" spans="1:5">
      <c r="A81" s="92" t="s">
        <v>219</v>
      </c>
      <c r="B81" s="93" t="s">
        <v>164</v>
      </c>
      <c r="C81" s="93" t="s">
        <v>2</v>
      </c>
      <c r="D81" s="93" t="s">
        <v>202</v>
      </c>
      <c r="E81" s="93" t="s">
        <v>203</v>
      </c>
    </row>
    <row r="82" spans="1:5">
      <c r="A82" s="94" t="s">
        <v>217</v>
      </c>
      <c r="B82" s="95" t="s">
        <v>184</v>
      </c>
      <c r="C82" s="96">
        <v>0.01</v>
      </c>
      <c r="D82" s="97">
        <v>50000</v>
      </c>
      <c r="E82" s="98">
        <f>ROUND(C82*D82,0)</f>
        <v>500</v>
      </c>
    </row>
    <row r="83" spans="1:5">
      <c r="A83" s="99"/>
      <c r="B83" s="101">
        <f>+E83/D84</f>
        <v>0.02</v>
      </c>
      <c r="C83" s="98"/>
      <c r="D83" s="99" t="s">
        <v>209</v>
      </c>
      <c r="E83" s="100">
        <f>+E82</f>
        <v>500</v>
      </c>
    </row>
    <row r="84" spans="1:5">
      <c r="A84" s="213" t="s">
        <v>215</v>
      </c>
      <c r="B84" s="213"/>
      <c r="C84" s="213"/>
      <c r="D84" s="214">
        <f>+E83+E80+E76+E73</f>
        <v>25000</v>
      </c>
      <c r="E84" s="214"/>
    </row>
    <row r="86" spans="1:5" ht="20.25">
      <c r="A86" s="200" t="s">
        <v>216</v>
      </c>
      <c r="B86" s="201"/>
      <c r="C86" s="201"/>
      <c r="D86" s="201"/>
      <c r="E86" s="202"/>
    </row>
    <row r="87" spans="1:5">
      <c r="A87" s="203"/>
      <c r="B87" s="204"/>
      <c r="C87" s="205"/>
      <c r="D87" s="90" t="s">
        <v>199</v>
      </c>
      <c r="E87" s="90" t="s">
        <v>164</v>
      </c>
    </row>
    <row r="88" spans="1:5">
      <c r="A88" s="207"/>
      <c r="B88" s="208"/>
      <c r="C88" s="206"/>
      <c r="D88" s="91" t="s">
        <v>157</v>
      </c>
      <c r="E88" s="91" t="s">
        <v>186</v>
      </c>
    </row>
    <row r="89" spans="1:5" ht="15.75">
      <c r="A89" s="209" t="s">
        <v>200</v>
      </c>
      <c r="B89" s="209"/>
      <c r="C89" s="209"/>
      <c r="D89" s="209"/>
      <c r="E89" s="209"/>
    </row>
    <row r="90" spans="1:5" ht="57" customHeight="1">
      <c r="A90" s="210" t="s">
        <v>194</v>
      </c>
      <c r="B90" s="211"/>
      <c r="C90" s="211"/>
      <c r="D90" s="211"/>
      <c r="E90" s="212"/>
    </row>
    <row r="91" spans="1:5">
      <c r="A91" s="92" t="s">
        <v>201</v>
      </c>
      <c r="B91" s="93" t="s">
        <v>164</v>
      </c>
      <c r="C91" s="93" t="s">
        <v>2</v>
      </c>
      <c r="D91" s="93" t="s">
        <v>202</v>
      </c>
      <c r="E91" s="93" t="s">
        <v>203</v>
      </c>
    </row>
    <row r="92" spans="1:5">
      <c r="A92" s="94"/>
      <c r="B92" s="95"/>
      <c r="C92" s="96">
        <v>0</v>
      </c>
      <c r="D92" s="97">
        <v>0</v>
      </c>
      <c r="E92" s="98">
        <f>ROUND(C92*D92,0)</f>
        <v>0</v>
      </c>
    </row>
    <row r="93" spans="1:5">
      <c r="A93" s="94"/>
      <c r="B93" s="95"/>
      <c r="C93" s="96">
        <v>0</v>
      </c>
      <c r="D93" s="97">
        <v>0</v>
      </c>
      <c r="E93" s="98">
        <f>ROUND(C93*D93,0)</f>
        <v>0</v>
      </c>
    </row>
    <row r="94" spans="1:5">
      <c r="A94" s="99"/>
      <c r="B94" s="101">
        <f>+E94/D105</f>
        <v>0</v>
      </c>
      <c r="C94" s="98"/>
      <c r="D94" s="99" t="s">
        <v>209</v>
      </c>
      <c r="E94" s="100">
        <f>SUM(E92:E93)</f>
        <v>0</v>
      </c>
    </row>
    <row r="95" spans="1:5">
      <c r="A95" s="92" t="s">
        <v>210</v>
      </c>
      <c r="B95" s="93" t="s">
        <v>164</v>
      </c>
      <c r="C95" s="93" t="s">
        <v>2</v>
      </c>
      <c r="D95" s="93" t="s">
        <v>202</v>
      </c>
      <c r="E95" s="93" t="s">
        <v>203</v>
      </c>
    </row>
    <row r="96" spans="1:5">
      <c r="A96" s="94" t="s">
        <v>211</v>
      </c>
      <c r="B96" s="95" t="s">
        <v>212</v>
      </c>
      <c r="C96" s="96">
        <v>0.102635</v>
      </c>
      <c r="D96" s="97">
        <v>171670</v>
      </c>
      <c r="E96" s="98">
        <f>ROUND(C96*D96,0)</f>
        <v>17619</v>
      </c>
    </row>
    <row r="97" spans="1:5">
      <c r="A97" s="99"/>
      <c r="B97" s="101">
        <f>+E97/D105</f>
        <v>0.70476000000000005</v>
      </c>
      <c r="C97" s="98"/>
      <c r="D97" s="99" t="s">
        <v>209</v>
      </c>
      <c r="E97" s="100">
        <f>+E96</f>
        <v>17619</v>
      </c>
    </row>
    <row r="98" spans="1:5">
      <c r="A98" s="92" t="s">
        <v>218</v>
      </c>
      <c r="B98" s="93" t="s">
        <v>164</v>
      </c>
      <c r="C98" s="93" t="s">
        <v>2</v>
      </c>
      <c r="D98" s="93" t="s">
        <v>202</v>
      </c>
      <c r="E98" s="93" t="s">
        <v>203</v>
      </c>
    </row>
    <row r="99" spans="1:5">
      <c r="A99" s="94" t="s">
        <v>213</v>
      </c>
      <c r="B99" s="95" t="s">
        <v>214</v>
      </c>
      <c r="C99" s="96">
        <v>0.05</v>
      </c>
      <c r="D99" s="97">
        <f>+E97</f>
        <v>17619</v>
      </c>
      <c r="E99" s="98">
        <f>ROUND(C99*D99,0)</f>
        <v>881</v>
      </c>
    </row>
    <row r="100" spans="1:5">
      <c r="A100" s="94" t="s">
        <v>231</v>
      </c>
      <c r="B100" s="95" t="s">
        <v>230</v>
      </c>
      <c r="C100" s="96">
        <v>0.15</v>
      </c>
      <c r="D100" s="97">
        <v>40000</v>
      </c>
      <c r="E100" s="98">
        <f>ROUND(C100*D100,0)</f>
        <v>6000</v>
      </c>
    </row>
    <row r="101" spans="1:5">
      <c r="A101" s="99"/>
      <c r="B101" s="101">
        <f>+E101/D105</f>
        <v>0.27523999999999998</v>
      </c>
      <c r="C101" s="98"/>
      <c r="D101" s="99" t="s">
        <v>209</v>
      </c>
      <c r="E101" s="100">
        <f>SUM(E99:E100)</f>
        <v>6881</v>
      </c>
    </row>
    <row r="102" spans="1:5">
      <c r="A102" s="92" t="s">
        <v>219</v>
      </c>
      <c r="B102" s="93" t="s">
        <v>164</v>
      </c>
      <c r="C102" s="93" t="s">
        <v>2</v>
      </c>
      <c r="D102" s="93" t="s">
        <v>202</v>
      </c>
      <c r="E102" s="93" t="s">
        <v>203</v>
      </c>
    </row>
    <row r="103" spans="1:5">
      <c r="A103" s="94" t="s">
        <v>217</v>
      </c>
      <c r="B103" s="95" t="s">
        <v>184</v>
      </c>
      <c r="C103" s="96">
        <v>0.01</v>
      </c>
      <c r="D103" s="97">
        <v>50000</v>
      </c>
      <c r="E103" s="98">
        <f>ROUND(C103*D103,0)</f>
        <v>500</v>
      </c>
    </row>
    <row r="104" spans="1:5">
      <c r="A104" s="99"/>
      <c r="B104" s="101">
        <f>+E104/D105</f>
        <v>0.02</v>
      </c>
      <c r="C104" s="98"/>
      <c r="D104" s="99" t="s">
        <v>209</v>
      </c>
      <c r="E104" s="100">
        <f>+E103</f>
        <v>500</v>
      </c>
    </row>
    <row r="105" spans="1:5">
      <c r="A105" s="213" t="s">
        <v>215</v>
      </c>
      <c r="B105" s="213"/>
      <c r="C105" s="213"/>
      <c r="D105" s="214">
        <f>+E104+E101+E97+E94</f>
        <v>25000</v>
      </c>
      <c r="E105" s="214"/>
    </row>
    <row r="107" spans="1:5" ht="20.25">
      <c r="A107" s="200" t="s">
        <v>216</v>
      </c>
      <c r="B107" s="201"/>
      <c r="C107" s="201"/>
      <c r="D107" s="201"/>
      <c r="E107" s="202"/>
    </row>
    <row r="108" spans="1:5">
      <c r="A108" s="203"/>
      <c r="B108" s="204"/>
      <c r="C108" s="205"/>
      <c r="D108" s="90" t="s">
        <v>199</v>
      </c>
      <c r="E108" s="90" t="s">
        <v>164</v>
      </c>
    </row>
    <row r="109" spans="1:5">
      <c r="A109" s="207"/>
      <c r="B109" s="208"/>
      <c r="C109" s="206"/>
      <c r="D109" s="91" t="s">
        <v>156</v>
      </c>
      <c r="E109" s="91" t="s">
        <v>188</v>
      </c>
    </row>
    <row r="110" spans="1:5" ht="15.75">
      <c r="A110" s="209" t="s">
        <v>200</v>
      </c>
      <c r="B110" s="209"/>
      <c r="C110" s="209"/>
      <c r="D110" s="209"/>
      <c r="E110" s="209"/>
    </row>
    <row r="111" spans="1:5" ht="42.75" customHeight="1">
      <c r="A111" s="210" t="s">
        <v>178</v>
      </c>
      <c r="B111" s="211"/>
      <c r="C111" s="211"/>
      <c r="D111" s="211"/>
      <c r="E111" s="212"/>
    </row>
    <row r="112" spans="1:5">
      <c r="A112" s="92" t="s">
        <v>201</v>
      </c>
      <c r="B112" s="93" t="s">
        <v>164</v>
      </c>
      <c r="C112" s="93" t="s">
        <v>2</v>
      </c>
      <c r="D112" s="93" t="s">
        <v>202</v>
      </c>
      <c r="E112" s="93" t="s">
        <v>203</v>
      </c>
    </row>
    <row r="113" spans="1:5">
      <c r="A113" s="94"/>
      <c r="B113" s="95"/>
      <c r="C113" s="96">
        <v>0</v>
      </c>
      <c r="D113" s="97">
        <v>0</v>
      </c>
      <c r="E113" s="98">
        <f>ROUND(C113*D113,0)</f>
        <v>0</v>
      </c>
    </row>
    <row r="114" spans="1:5">
      <c r="A114" s="94"/>
      <c r="B114" s="95"/>
      <c r="C114" s="96">
        <v>0</v>
      </c>
      <c r="D114" s="97">
        <v>0</v>
      </c>
      <c r="E114" s="98">
        <f>ROUND(C114*D114,0)</f>
        <v>0</v>
      </c>
    </row>
    <row r="115" spans="1:5">
      <c r="A115" s="99"/>
      <c r="B115" s="101">
        <f>+E115/D126</f>
        <v>0</v>
      </c>
      <c r="C115" s="98"/>
      <c r="D115" s="99" t="s">
        <v>209</v>
      </c>
      <c r="E115" s="100">
        <f>SUM(E113:E114)</f>
        <v>0</v>
      </c>
    </row>
    <row r="116" spans="1:5">
      <c r="A116" s="92" t="s">
        <v>210</v>
      </c>
      <c r="B116" s="93" t="s">
        <v>164</v>
      </c>
      <c r="C116" s="93" t="s">
        <v>2</v>
      </c>
      <c r="D116" s="93" t="s">
        <v>202</v>
      </c>
      <c r="E116" s="93" t="s">
        <v>203</v>
      </c>
    </row>
    <row r="117" spans="1:5">
      <c r="A117" s="94" t="s">
        <v>232</v>
      </c>
      <c r="B117" s="95" t="s">
        <v>212</v>
      </c>
      <c r="C117" s="96">
        <v>0.3</v>
      </c>
      <c r="D117" s="97">
        <v>57510</v>
      </c>
      <c r="E117" s="98">
        <f>ROUND(C117*D117,0)</f>
        <v>17253</v>
      </c>
    </row>
    <row r="118" spans="1:5">
      <c r="A118" s="99"/>
      <c r="B118" s="101">
        <f>+E118/D126</f>
        <v>0.17252999999999999</v>
      </c>
      <c r="C118" s="98"/>
      <c r="D118" s="99" t="s">
        <v>209</v>
      </c>
      <c r="E118" s="100">
        <f>+E117</f>
        <v>17253</v>
      </c>
    </row>
    <row r="119" spans="1:5">
      <c r="A119" s="92" t="s">
        <v>218</v>
      </c>
      <c r="B119" s="93" t="s">
        <v>164</v>
      </c>
      <c r="C119" s="93" t="s">
        <v>2</v>
      </c>
      <c r="D119" s="93" t="s">
        <v>202</v>
      </c>
      <c r="E119" s="93" t="s">
        <v>203</v>
      </c>
    </row>
    <row r="120" spans="1:5">
      <c r="A120" s="94" t="s">
        <v>213</v>
      </c>
      <c r="B120" s="95" t="s">
        <v>214</v>
      </c>
      <c r="C120" s="96">
        <v>0.05</v>
      </c>
      <c r="D120" s="97">
        <f>+E118</f>
        <v>17253</v>
      </c>
      <c r="E120" s="98">
        <f>ROUND(C120*D120,0)</f>
        <v>863</v>
      </c>
    </row>
    <row r="121" spans="1:5">
      <c r="A121" s="99"/>
      <c r="B121" s="101">
        <f>+E121/D126</f>
        <v>8.6300000000000005E-3</v>
      </c>
      <c r="C121" s="98"/>
      <c r="D121" s="99" t="s">
        <v>209</v>
      </c>
      <c r="E121" s="100">
        <f>SUM(E120:E120)</f>
        <v>863</v>
      </c>
    </row>
    <row r="122" spans="1:5">
      <c r="A122" s="92" t="s">
        <v>219</v>
      </c>
      <c r="B122" s="93" t="s">
        <v>164</v>
      </c>
      <c r="C122" s="93" t="s">
        <v>2</v>
      </c>
      <c r="D122" s="93" t="s">
        <v>202</v>
      </c>
      <c r="E122" s="93" t="s">
        <v>203</v>
      </c>
    </row>
    <row r="123" spans="1:5">
      <c r="A123" s="94" t="s">
        <v>217</v>
      </c>
      <c r="B123" s="95" t="s">
        <v>184</v>
      </c>
      <c r="C123" s="96">
        <v>0.1</v>
      </c>
      <c r="D123" s="97">
        <v>50000</v>
      </c>
      <c r="E123" s="98">
        <f>ROUND(C123*D123,0)</f>
        <v>5000</v>
      </c>
    </row>
    <row r="124" spans="1:5" ht="25.5">
      <c r="A124" s="173" t="s">
        <v>233</v>
      </c>
      <c r="B124" s="95" t="s">
        <v>188</v>
      </c>
      <c r="C124" s="96">
        <v>1.2814000000000001</v>
      </c>
      <c r="D124" s="97">
        <v>60000</v>
      </c>
      <c r="E124" s="98">
        <f>ROUND(C124*D124,0)</f>
        <v>76884</v>
      </c>
    </row>
    <row r="125" spans="1:5">
      <c r="A125" s="99"/>
      <c r="B125" s="101">
        <f>+E125/D126</f>
        <v>0.81884000000000001</v>
      </c>
      <c r="C125" s="98"/>
      <c r="D125" s="99" t="s">
        <v>209</v>
      </c>
      <c r="E125" s="100">
        <f>SUM(E123:E124)</f>
        <v>81884</v>
      </c>
    </row>
    <row r="126" spans="1:5">
      <c r="A126" s="213" t="s">
        <v>215</v>
      </c>
      <c r="B126" s="213"/>
      <c r="C126" s="213"/>
      <c r="D126" s="214">
        <f>+E125+E121+E118+E115</f>
        <v>100000</v>
      </c>
      <c r="E126" s="214"/>
    </row>
    <row r="128" spans="1:5" ht="20.25">
      <c r="A128" s="200" t="s">
        <v>216</v>
      </c>
      <c r="B128" s="201"/>
      <c r="C128" s="201"/>
      <c r="D128" s="201"/>
      <c r="E128" s="202"/>
    </row>
    <row r="129" spans="1:5">
      <c r="A129" s="203"/>
      <c r="B129" s="204"/>
      <c r="C129" s="205"/>
      <c r="D129" s="90" t="s">
        <v>199</v>
      </c>
      <c r="E129" s="90" t="s">
        <v>164</v>
      </c>
    </row>
    <row r="130" spans="1:5">
      <c r="A130" s="207"/>
      <c r="B130" s="208"/>
      <c r="C130" s="206"/>
      <c r="D130" s="91" t="s">
        <v>155</v>
      </c>
      <c r="E130" s="91" t="s">
        <v>188</v>
      </c>
    </row>
    <row r="131" spans="1:5" ht="15.75">
      <c r="A131" s="209" t="s">
        <v>200</v>
      </c>
      <c r="B131" s="209"/>
      <c r="C131" s="209"/>
      <c r="D131" s="209"/>
      <c r="E131" s="209"/>
    </row>
    <row r="132" spans="1:5" ht="42.75" customHeight="1">
      <c r="A132" s="210" t="s">
        <v>195</v>
      </c>
      <c r="B132" s="211"/>
      <c r="C132" s="211"/>
      <c r="D132" s="211"/>
      <c r="E132" s="212"/>
    </row>
    <row r="133" spans="1:5">
      <c r="A133" s="92" t="s">
        <v>201</v>
      </c>
      <c r="B133" s="93" t="s">
        <v>164</v>
      </c>
      <c r="C133" s="93" t="s">
        <v>2</v>
      </c>
      <c r="D133" s="93" t="s">
        <v>202</v>
      </c>
      <c r="E133" s="93" t="s">
        <v>203</v>
      </c>
    </row>
    <row r="134" spans="1:5">
      <c r="A134" s="94"/>
      <c r="B134" s="95"/>
      <c r="C134" s="96">
        <v>0</v>
      </c>
      <c r="D134" s="97">
        <v>0</v>
      </c>
      <c r="E134" s="98">
        <f>ROUND(C134*D134,0)</f>
        <v>0</v>
      </c>
    </row>
    <row r="135" spans="1:5">
      <c r="A135" s="94"/>
      <c r="B135" s="95"/>
      <c r="C135" s="96">
        <v>0</v>
      </c>
      <c r="D135" s="97">
        <v>0</v>
      </c>
      <c r="E135" s="98">
        <f>ROUND(C135*D135,0)</f>
        <v>0</v>
      </c>
    </row>
    <row r="136" spans="1:5">
      <c r="A136" s="99"/>
      <c r="B136" s="101">
        <f>+E136/D147</f>
        <v>0</v>
      </c>
      <c r="C136" s="98"/>
      <c r="D136" s="99" t="s">
        <v>209</v>
      </c>
      <c r="E136" s="100">
        <f>SUM(E134:E135)</f>
        <v>0</v>
      </c>
    </row>
    <row r="137" spans="1:5">
      <c r="A137" s="92" t="s">
        <v>210</v>
      </c>
      <c r="B137" s="93" t="s">
        <v>164</v>
      </c>
      <c r="C137" s="93" t="s">
        <v>2</v>
      </c>
      <c r="D137" s="93" t="s">
        <v>202</v>
      </c>
      <c r="E137" s="93" t="s">
        <v>203</v>
      </c>
    </row>
    <row r="138" spans="1:5">
      <c r="A138" s="94" t="s">
        <v>232</v>
      </c>
      <c r="B138" s="95" t="s">
        <v>212</v>
      </c>
      <c r="C138" s="96">
        <v>0.3</v>
      </c>
      <c r="D138" s="97">
        <v>57510</v>
      </c>
      <c r="E138" s="98">
        <f>ROUND(C138*D138,0)</f>
        <v>17253</v>
      </c>
    </row>
    <row r="139" spans="1:5">
      <c r="A139" s="99"/>
      <c r="B139" s="101">
        <f>+E139/D147</f>
        <v>0.19170000000000001</v>
      </c>
      <c r="C139" s="98"/>
      <c r="D139" s="99" t="s">
        <v>209</v>
      </c>
      <c r="E139" s="100">
        <f>+E138</f>
        <v>17253</v>
      </c>
    </row>
    <row r="140" spans="1:5">
      <c r="A140" s="92" t="s">
        <v>218</v>
      </c>
      <c r="B140" s="93" t="s">
        <v>164</v>
      </c>
      <c r="C140" s="93" t="s">
        <v>2</v>
      </c>
      <c r="D140" s="93" t="s">
        <v>202</v>
      </c>
      <c r="E140" s="93" t="s">
        <v>203</v>
      </c>
    </row>
    <row r="141" spans="1:5">
      <c r="A141" s="94" t="s">
        <v>213</v>
      </c>
      <c r="B141" s="95" t="s">
        <v>214</v>
      </c>
      <c r="C141" s="96">
        <v>0.05</v>
      </c>
      <c r="D141" s="97">
        <f>+E139</f>
        <v>17253</v>
      </c>
      <c r="E141" s="98">
        <f>ROUND(C141*D141,0)</f>
        <v>863</v>
      </c>
    </row>
    <row r="142" spans="1:5">
      <c r="A142" s="99"/>
      <c r="B142" s="101">
        <f>+E142/D147</f>
        <v>9.5888888888888881E-3</v>
      </c>
      <c r="C142" s="98"/>
      <c r="D142" s="99" t="s">
        <v>209</v>
      </c>
      <c r="E142" s="100">
        <f>SUM(E141:E141)</f>
        <v>863</v>
      </c>
    </row>
    <row r="143" spans="1:5">
      <c r="A143" s="92" t="s">
        <v>219</v>
      </c>
      <c r="B143" s="93" t="s">
        <v>164</v>
      </c>
      <c r="C143" s="93" t="s">
        <v>2</v>
      </c>
      <c r="D143" s="93" t="s">
        <v>202</v>
      </c>
      <c r="E143" s="93" t="s">
        <v>203</v>
      </c>
    </row>
    <row r="144" spans="1:5">
      <c r="A144" s="94" t="s">
        <v>217</v>
      </c>
      <c r="B144" s="95" t="s">
        <v>184</v>
      </c>
      <c r="C144" s="96">
        <v>0.05</v>
      </c>
      <c r="D144" s="97">
        <v>50000</v>
      </c>
      <c r="E144" s="98">
        <f>ROUND(C144*D144,0)</f>
        <v>2500</v>
      </c>
    </row>
    <row r="145" spans="1:5" ht="25.5">
      <c r="A145" s="173" t="s">
        <v>233</v>
      </c>
      <c r="B145" s="95" t="s">
        <v>188</v>
      </c>
      <c r="C145" s="96">
        <v>1.1564000000000001</v>
      </c>
      <c r="D145" s="97">
        <v>60000</v>
      </c>
      <c r="E145" s="98">
        <f>ROUND(C145*D145,0)</f>
        <v>69384</v>
      </c>
    </row>
    <row r="146" spans="1:5">
      <c r="A146" s="99"/>
      <c r="B146" s="101">
        <f>+E146/D147</f>
        <v>0.79871111111111115</v>
      </c>
      <c r="C146" s="98"/>
      <c r="D146" s="99" t="s">
        <v>209</v>
      </c>
      <c r="E146" s="100">
        <f>SUM(E144:E145)</f>
        <v>71884</v>
      </c>
    </row>
    <row r="147" spans="1:5">
      <c r="A147" s="213" t="s">
        <v>215</v>
      </c>
      <c r="B147" s="213"/>
      <c r="C147" s="213"/>
      <c r="D147" s="214">
        <f>+E146+E142+E139+E136</f>
        <v>90000</v>
      </c>
      <c r="E147" s="214"/>
    </row>
    <row r="149" spans="1:5" ht="20.25">
      <c r="A149" s="200" t="s">
        <v>216</v>
      </c>
      <c r="B149" s="201"/>
      <c r="C149" s="201"/>
      <c r="D149" s="201"/>
      <c r="E149" s="202"/>
    </row>
    <row r="150" spans="1:5">
      <c r="A150" s="203"/>
      <c r="B150" s="204"/>
      <c r="C150" s="205"/>
      <c r="D150" s="90" t="s">
        <v>199</v>
      </c>
      <c r="E150" s="90" t="s">
        <v>164</v>
      </c>
    </row>
    <row r="151" spans="1:5">
      <c r="A151" s="207"/>
      <c r="B151" s="208"/>
      <c r="C151" s="206"/>
      <c r="D151" s="91" t="s">
        <v>172</v>
      </c>
      <c r="E151" s="91" t="s">
        <v>188</v>
      </c>
    </row>
    <row r="152" spans="1:5" ht="15.75">
      <c r="A152" s="209" t="s">
        <v>200</v>
      </c>
      <c r="B152" s="209"/>
      <c r="C152" s="209"/>
      <c r="D152" s="209"/>
      <c r="E152" s="209"/>
    </row>
    <row r="153" spans="1:5" ht="30" customHeight="1">
      <c r="A153" s="210" t="s">
        <v>196</v>
      </c>
      <c r="B153" s="211"/>
      <c r="C153" s="211"/>
      <c r="D153" s="211"/>
      <c r="E153" s="212"/>
    </row>
    <row r="154" spans="1:5">
      <c r="A154" s="92" t="s">
        <v>201</v>
      </c>
      <c r="B154" s="93" t="s">
        <v>164</v>
      </c>
      <c r="C154" s="93" t="s">
        <v>2</v>
      </c>
      <c r="D154" s="93" t="s">
        <v>202</v>
      </c>
      <c r="E154" s="93" t="s">
        <v>203</v>
      </c>
    </row>
    <row r="155" spans="1:5">
      <c r="A155" s="94"/>
      <c r="B155" s="95"/>
      <c r="C155" s="96">
        <v>0</v>
      </c>
      <c r="D155" s="97">
        <v>0</v>
      </c>
      <c r="E155" s="98">
        <f>ROUND(C155*D155,0)</f>
        <v>0</v>
      </c>
    </row>
    <row r="156" spans="1:5">
      <c r="A156" s="94"/>
      <c r="B156" s="95"/>
      <c r="C156" s="96">
        <v>0</v>
      </c>
      <c r="D156" s="97">
        <v>0</v>
      </c>
      <c r="E156" s="98">
        <f>ROUND(C156*D156,0)</f>
        <v>0</v>
      </c>
    </row>
    <row r="157" spans="1:5">
      <c r="A157" s="99"/>
      <c r="B157" s="101">
        <f>+E157/D167</f>
        <v>0</v>
      </c>
      <c r="C157" s="98"/>
      <c r="D157" s="99" t="s">
        <v>209</v>
      </c>
      <c r="E157" s="100">
        <f>SUM(E155:E156)</f>
        <v>0</v>
      </c>
    </row>
    <row r="158" spans="1:5">
      <c r="A158" s="92" t="s">
        <v>210</v>
      </c>
      <c r="B158" s="93" t="s">
        <v>164</v>
      </c>
      <c r="C158" s="93" t="s">
        <v>2</v>
      </c>
      <c r="D158" s="93" t="s">
        <v>202</v>
      </c>
      <c r="E158" s="93" t="s">
        <v>203</v>
      </c>
    </row>
    <row r="159" spans="1:5">
      <c r="A159" s="94" t="s">
        <v>232</v>
      </c>
      <c r="B159" s="95" t="s">
        <v>212</v>
      </c>
      <c r="C159" s="96">
        <v>0.17580000000000001</v>
      </c>
      <c r="D159" s="97">
        <v>57510</v>
      </c>
      <c r="E159" s="98">
        <f>ROUND(C159*D159,0)</f>
        <v>10110</v>
      </c>
    </row>
    <row r="160" spans="1:5">
      <c r="A160" s="99"/>
      <c r="B160" s="101">
        <f>+E160/D167</f>
        <v>0.12637499999999999</v>
      </c>
      <c r="C160" s="98"/>
      <c r="D160" s="99" t="s">
        <v>209</v>
      </c>
      <c r="E160" s="100">
        <f>+E159</f>
        <v>10110</v>
      </c>
    </row>
    <row r="161" spans="1:5">
      <c r="A161" s="92" t="s">
        <v>218</v>
      </c>
      <c r="B161" s="93" t="s">
        <v>164</v>
      </c>
      <c r="C161" s="93" t="s">
        <v>2</v>
      </c>
      <c r="D161" s="93" t="s">
        <v>202</v>
      </c>
      <c r="E161" s="93" t="s">
        <v>203</v>
      </c>
    </row>
    <row r="162" spans="1:5">
      <c r="A162" s="94" t="s">
        <v>213</v>
      </c>
      <c r="B162" s="95" t="s">
        <v>214</v>
      </c>
      <c r="C162" s="96">
        <v>0.05</v>
      </c>
      <c r="D162" s="97">
        <f>+E160</f>
        <v>10110</v>
      </c>
      <c r="E162" s="98">
        <f>ROUND(C162*D162,0)</f>
        <v>506</v>
      </c>
    </row>
    <row r="163" spans="1:5">
      <c r="A163" s="99"/>
      <c r="B163" s="101">
        <f>+E163/D167</f>
        <v>6.3249999999999999E-3</v>
      </c>
      <c r="C163" s="98"/>
      <c r="D163" s="99" t="s">
        <v>209</v>
      </c>
      <c r="E163" s="100">
        <f>SUM(E162:E162)</f>
        <v>506</v>
      </c>
    </row>
    <row r="164" spans="1:5">
      <c r="A164" s="92" t="s">
        <v>219</v>
      </c>
      <c r="B164" s="93" t="s">
        <v>164</v>
      </c>
      <c r="C164" s="93" t="s">
        <v>2</v>
      </c>
      <c r="D164" s="93" t="s">
        <v>202</v>
      </c>
      <c r="E164" s="93" t="s">
        <v>203</v>
      </c>
    </row>
    <row r="165" spans="1:5" ht="25.5">
      <c r="A165" s="173" t="s">
        <v>233</v>
      </c>
      <c r="B165" s="95" t="s">
        <v>188</v>
      </c>
      <c r="C165" s="96">
        <v>1.1564000000000001</v>
      </c>
      <c r="D165" s="97">
        <v>60000</v>
      </c>
      <c r="E165" s="98">
        <f>ROUND(C165*D165,0)</f>
        <v>69384</v>
      </c>
    </row>
    <row r="166" spans="1:5">
      <c r="A166" s="99"/>
      <c r="B166" s="101">
        <f>+E166/D167</f>
        <v>0.86729999999999996</v>
      </c>
      <c r="C166" s="98"/>
      <c r="D166" s="99" t="s">
        <v>209</v>
      </c>
      <c r="E166" s="100">
        <f>SUM(E165:E165)</f>
        <v>69384</v>
      </c>
    </row>
    <row r="167" spans="1:5">
      <c r="A167" s="213" t="s">
        <v>215</v>
      </c>
      <c r="B167" s="213"/>
      <c r="C167" s="213"/>
      <c r="D167" s="214">
        <f>+E166+E163+E160+E157</f>
        <v>80000</v>
      </c>
      <c r="E167" s="214"/>
    </row>
    <row r="169" spans="1:5" ht="20.25">
      <c r="A169" s="200" t="s">
        <v>216</v>
      </c>
      <c r="B169" s="201"/>
      <c r="C169" s="201"/>
      <c r="D169" s="201"/>
      <c r="E169" s="202"/>
    </row>
    <row r="170" spans="1:5">
      <c r="A170" s="203"/>
      <c r="B170" s="204"/>
      <c r="C170" s="205"/>
      <c r="D170" s="90" t="s">
        <v>199</v>
      </c>
      <c r="E170" s="90" t="s">
        <v>164</v>
      </c>
    </row>
    <row r="171" spans="1:5">
      <c r="A171" s="207"/>
      <c r="B171" s="208"/>
      <c r="C171" s="206"/>
      <c r="D171" s="91" t="s">
        <v>154</v>
      </c>
      <c r="E171" s="91" t="s">
        <v>188</v>
      </c>
    </row>
    <row r="172" spans="1:5" ht="15.75">
      <c r="A172" s="209" t="s">
        <v>200</v>
      </c>
      <c r="B172" s="209"/>
      <c r="C172" s="209"/>
      <c r="D172" s="209"/>
      <c r="E172" s="209"/>
    </row>
    <row r="173" spans="1:5" ht="45" customHeight="1">
      <c r="A173" s="210" t="s">
        <v>237</v>
      </c>
      <c r="B173" s="211"/>
      <c r="C173" s="211"/>
      <c r="D173" s="211"/>
      <c r="E173" s="212"/>
    </row>
    <row r="174" spans="1:5">
      <c r="A174" s="92" t="s">
        <v>201</v>
      </c>
      <c r="B174" s="93" t="s">
        <v>164</v>
      </c>
      <c r="C174" s="93" t="s">
        <v>2</v>
      </c>
      <c r="D174" s="93" t="s">
        <v>202</v>
      </c>
      <c r="E174" s="93" t="s">
        <v>203</v>
      </c>
    </row>
    <row r="175" spans="1:5">
      <c r="A175" s="94" t="s">
        <v>234</v>
      </c>
      <c r="B175" s="95" t="s">
        <v>188</v>
      </c>
      <c r="C175" s="96">
        <v>0.6</v>
      </c>
      <c r="D175" s="97">
        <v>140000</v>
      </c>
      <c r="E175" s="98">
        <f>ROUND(C175*D175,0)</f>
        <v>84000</v>
      </c>
    </row>
    <row r="176" spans="1:5">
      <c r="A176" s="94" t="s">
        <v>235</v>
      </c>
      <c r="B176" s="95" t="s">
        <v>188</v>
      </c>
      <c r="C176" s="96">
        <v>0.85</v>
      </c>
      <c r="D176" s="97">
        <v>140000</v>
      </c>
      <c r="E176" s="98">
        <f t="shared" ref="E176:E177" si="0">ROUND(C176*D176,0)</f>
        <v>119000</v>
      </c>
    </row>
    <row r="177" spans="1:5">
      <c r="A177" s="94" t="s">
        <v>236</v>
      </c>
      <c r="B177" s="95" t="s">
        <v>238</v>
      </c>
      <c r="C177" s="96">
        <v>7</v>
      </c>
      <c r="D177" s="97">
        <v>29000</v>
      </c>
      <c r="E177" s="98">
        <f t="shared" si="0"/>
        <v>203000</v>
      </c>
    </row>
    <row r="178" spans="1:5">
      <c r="A178" s="99"/>
      <c r="B178" s="101">
        <f>+E178/D188</f>
        <v>0.81200000000000006</v>
      </c>
      <c r="C178" s="98"/>
      <c r="D178" s="99" t="s">
        <v>209</v>
      </c>
      <c r="E178" s="100">
        <f>SUM(E175:E177)</f>
        <v>406000</v>
      </c>
    </row>
    <row r="179" spans="1:5">
      <c r="A179" s="92" t="s">
        <v>210</v>
      </c>
      <c r="B179" s="93" t="s">
        <v>164</v>
      </c>
      <c r="C179" s="93" t="s">
        <v>2</v>
      </c>
      <c r="D179" s="93" t="s">
        <v>202</v>
      </c>
      <c r="E179" s="93" t="s">
        <v>203</v>
      </c>
    </row>
    <row r="180" spans="1:5">
      <c r="A180" s="94" t="s">
        <v>220</v>
      </c>
      <c r="B180" s="95" t="s">
        <v>212</v>
      </c>
      <c r="C180" s="96">
        <v>0.28962500000000002</v>
      </c>
      <c r="D180" s="97">
        <v>228570</v>
      </c>
      <c r="E180" s="98">
        <f>ROUND(C180*D180,0)</f>
        <v>66200</v>
      </c>
    </row>
    <row r="181" spans="1:5">
      <c r="A181" s="99"/>
      <c r="B181" s="101">
        <f>+E181/D188</f>
        <v>0.13239999999999999</v>
      </c>
      <c r="C181" s="98"/>
      <c r="D181" s="99" t="s">
        <v>209</v>
      </c>
      <c r="E181" s="100">
        <f>+E180</f>
        <v>66200</v>
      </c>
    </row>
    <row r="182" spans="1:5">
      <c r="A182" s="92" t="s">
        <v>218</v>
      </c>
      <c r="B182" s="93" t="s">
        <v>164</v>
      </c>
      <c r="C182" s="93" t="s">
        <v>2</v>
      </c>
      <c r="D182" s="93" t="s">
        <v>202</v>
      </c>
      <c r="E182" s="93" t="s">
        <v>203</v>
      </c>
    </row>
    <row r="183" spans="1:5">
      <c r="A183" s="94" t="s">
        <v>213</v>
      </c>
      <c r="B183" s="95" t="s">
        <v>214</v>
      </c>
      <c r="C183" s="96">
        <v>0.05</v>
      </c>
      <c r="D183" s="97">
        <f>+E178</f>
        <v>406000</v>
      </c>
      <c r="E183" s="98">
        <f>ROUND(C183*D183,0)</f>
        <v>20300</v>
      </c>
    </row>
    <row r="184" spans="1:5">
      <c r="A184" s="99"/>
      <c r="B184" s="101">
        <f>+E184/D188</f>
        <v>4.0599999999999997E-2</v>
      </c>
      <c r="C184" s="98"/>
      <c r="D184" s="99" t="s">
        <v>209</v>
      </c>
      <c r="E184" s="100">
        <f>SUM(E183:E183)</f>
        <v>20300</v>
      </c>
    </row>
    <row r="185" spans="1:5">
      <c r="A185" s="92" t="s">
        <v>219</v>
      </c>
      <c r="B185" s="93" t="s">
        <v>164</v>
      </c>
      <c r="C185" s="93" t="s">
        <v>2</v>
      </c>
      <c r="D185" s="93" t="s">
        <v>202</v>
      </c>
      <c r="E185" s="93" t="s">
        <v>203</v>
      </c>
    </row>
    <row r="186" spans="1:5">
      <c r="A186" s="94" t="s">
        <v>217</v>
      </c>
      <c r="B186" s="95" t="s">
        <v>188</v>
      </c>
      <c r="C186" s="96">
        <v>0.1</v>
      </c>
      <c r="D186" s="97">
        <v>75000</v>
      </c>
      <c r="E186" s="98">
        <f>ROUND(C186*D186,0)</f>
        <v>7500</v>
      </c>
    </row>
    <row r="187" spans="1:5">
      <c r="A187" s="99"/>
      <c r="B187" s="101">
        <f>+E187/D188</f>
        <v>1.4999999999999999E-2</v>
      </c>
      <c r="C187" s="98"/>
      <c r="D187" s="99" t="s">
        <v>209</v>
      </c>
      <c r="E187" s="100">
        <f>SUM(E186:E186)</f>
        <v>7500</v>
      </c>
    </row>
    <row r="188" spans="1:5">
      <c r="A188" s="213" t="s">
        <v>215</v>
      </c>
      <c r="B188" s="213"/>
      <c r="C188" s="213"/>
      <c r="D188" s="214">
        <f>+E187+E184+E181+E178</f>
        <v>500000</v>
      </c>
      <c r="E188" s="214"/>
    </row>
    <row r="190" spans="1:5" ht="20.25">
      <c r="A190" s="200" t="s">
        <v>216</v>
      </c>
      <c r="B190" s="201"/>
      <c r="C190" s="201"/>
      <c r="D190" s="201"/>
      <c r="E190" s="202"/>
    </row>
    <row r="191" spans="1:5">
      <c r="A191" s="203"/>
      <c r="B191" s="204"/>
      <c r="C191" s="205"/>
      <c r="D191" s="90" t="s">
        <v>199</v>
      </c>
      <c r="E191" s="90" t="s">
        <v>164</v>
      </c>
    </row>
    <row r="192" spans="1:5">
      <c r="A192" s="207"/>
      <c r="B192" s="208"/>
      <c r="C192" s="206"/>
      <c r="D192" s="91" t="s">
        <v>153</v>
      </c>
      <c r="E192" s="91" t="s">
        <v>188</v>
      </c>
    </row>
    <row r="193" spans="1:5" ht="15.75">
      <c r="A193" s="209" t="s">
        <v>200</v>
      </c>
      <c r="B193" s="209"/>
      <c r="C193" s="209"/>
      <c r="D193" s="209"/>
      <c r="E193" s="209"/>
    </row>
    <row r="194" spans="1:5" ht="44.25" customHeight="1">
      <c r="A194" s="210" t="s">
        <v>179</v>
      </c>
      <c r="B194" s="211"/>
      <c r="C194" s="211"/>
      <c r="D194" s="211"/>
      <c r="E194" s="212"/>
    </row>
    <row r="195" spans="1:5">
      <c r="A195" s="92" t="s">
        <v>201</v>
      </c>
      <c r="B195" s="93" t="s">
        <v>164</v>
      </c>
      <c r="C195" s="93" t="s">
        <v>2</v>
      </c>
      <c r="D195" s="93" t="s">
        <v>202</v>
      </c>
      <c r="E195" s="93" t="s">
        <v>203</v>
      </c>
    </row>
    <row r="196" spans="1:5">
      <c r="A196" s="94" t="s">
        <v>234</v>
      </c>
      <c r="B196" s="95" t="s">
        <v>188</v>
      </c>
      <c r="C196" s="96">
        <v>0.6</v>
      </c>
      <c r="D196" s="97">
        <v>140000</v>
      </c>
      <c r="E196" s="98">
        <f>ROUND(C196*D196,0)</f>
        <v>84000</v>
      </c>
    </row>
    <row r="197" spans="1:5">
      <c r="A197" s="94" t="s">
        <v>235</v>
      </c>
      <c r="B197" s="95" t="s">
        <v>188</v>
      </c>
      <c r="C197" s="96">
        <v>0.85</v>
      </c>
      <c r="D197" s="97">
        <v>140000</v>
      </c>
      <c r="E197" s="98">
        <f t="shared" ref="E197:E201" si="1">ROUND(C197*D197,0)</f>
        <v>119000</v>
      </c>
    </row>
    <row r="198" spans="1:5">
      <c r="A198" s="94" t="s">
        <v>236</v>
      </c>
      <c r="B198" s="95" t="s">
        <v>238</v>
      </c>
      <c r="C198" s="96">
        <v>7</v>
      </c>
      <c r="D198" s="97">
        <v>29000</v>
      </c>
      <c r="E198" s="98">
        <f t="shared" si="1"/>
        <v>203000</v>
      </c>
    </row>
    <row r="199" spans="1:5">
      <c r="A199" s="94" t="s">
        <v>239</v>
      </c>
      <c r="B199" s="95" t="s">
        <v>207</v>
      </c>
      <c r="C199" s="96">
        <v>0.1</v>
      </c>
      <c r="D199" s="97">
        <v>4900</v>
      </c>
      <c r="E199" s="98">
        <f t="shared" si="1"/>
        <v>490</v>
      </c>
    </row>
    <row r="200" spans="1:5">
      <c r="A200" s="94" t="s">
        <v>206</v>
      </c>
      <c r="B200" s="95" t="s">
        <v>164</v>
      </c>
      <c r="C200" s="96">
        <v>1</v>
      </c>
      <c r="D200" s="97">
        <v>6690</v>
      </c>
      <c r="E200" s="98">
        <f t="shared" si="1"/>
        <v>6690</v>
      </c>
    </row>
    <row r="201" spans="1:5">
      <c r="A201" s="94" t="s">
        <v>241</v>
      </c>
      <c r="B201" s="95" t="s">
        <v>164</v>
      </c>
      <c r="C201" s="96">
        <v>0.2</v>
      </c>
      <c r="D201" s="97">
        <v>280000</v>
      </c>
      <c r="E201" s="98">
        <f t="shared" si="1"/>
        <v>56000</v>
      </c>
    </row>
    <row r="202" spans="1:5">
      <c r="A202" s="99"/>
      <c r="B202" s="101">
        <f>+E202/D212</f>
        <v>0.85305454545454551</v>
      </c>
      <c r="C202" s="98"/>
      <c r="D202" s="99" t="s">
        <v>209</v>
      </c>
      <c r="E202" s="100">
        <f>SUM(E196:E201)</f>
        <v>469180</v>
      </c>
    </row>
    <row r="203" spans="1:5">
      <c r="A203" s="92" t="s">
        <v>210</v>
      </c>
      <c r="B203" s="93" t="s">
        <v>164</v>
      </c>
      <c r="C203" s="93" t="s">
        <v>2</v>
      </c>
      <c r="D203" s="93" t="s">
        <v>202</v>
      </c>
      <c r="E203" s="93" t="s">
        <v>203</v>
      </c>
    </row>
    <row r="204" spans="1:5">
      <c r="A204" s="94" t="s">
        <v>220</v>
      </c>
      <c r="B204" s="95" t="s">
        <v>212</v>
      </c>
      <c r="C204" s="96">
        <v>0.218143</v>
      </c>
      <c r="D204" s="97">
        <v>228570</v>
      </c>
      <c r="E204" s="98">
        <f>ROUND(C204*D204,0)</f>
        <v>49861</v>
      </c>
    </row>
    <row r="205" spans="1:5">
      <c r="A205" s="99"/>
      <c r="B205" s="101">
        <f>+E205/D212</f>
        <v>9.0656363636363632E-2</v>
      </c>
      <c r="C205" s="98"/>
      <c r="D205" s="99" t="s">
        <v>209</v>
      </c>
      <c r="E205" s="100">
        <f>+E204</f>
        <v>49861</v>
      </c>
    </row>
    <row r="206" spans="1:5">
      <c r="A206" s="92" t="s">
        <v>218</v>
      </c>
      <c r="B206" s="93" t="s">
        <v>164</v>
      </c>
      <c r="C206" s="93" t="s">
        <v>2</v>
      </c>
      <c r="D206" s="93" t="s">
        <v>202</v>
      </c>
      <c r="E206" s="93" t="s">
        <v>203</v>
      </c>
    </row>
    <row r="207" spans="1:5">
      <c r="A207" s="94" t="s">
        <v>213</v>
      </c>
      <c r="B207" s="95" t="s">
        <v>214</v>
      </c>
      <c r="C207" s="96">
        <v>0.05</v>
      </c>
      <c r="D207" s="97">
        <f>+E202</f>
        <v>469180</v>
      </c>
      <c r="E207" s="98">
        <f>ROUND(C207*D207,0)</f>
        <v>23459</v>
      </c>
    </row>
    <row r="208" spans="1:5">
      <c r="A208" s="99"/>
      <c r="B208" s="101">
        <f>+E208/D212</f>
        <v>4.2652727272727273E-2</v>
      </c>
      <c r="C208" s="98"/>
      <c r="D208" s="99" t="s">
        <v>209</v>
      </c>
      <c r="E208" s="100">
        <f>SUM(E207:E207)</f>
        <v>23459</v>
      </c>
    </row>
    <row r="209" spans="1:5">
      <c r="A209" s="92" t="s">
        <v>219</v>
      </c>
      <c r="B209" s="93" t="s">
        <v>164</v>
      </c>
      <c r="C209" s="93" t="s">
        <v>2</v>
      </c>
      <c r="D209" s="93" t="s">
        <v>202</v>
      </c>
      <c r="E209" s="93" t="s">
        <v>203</v>
      </c>
    </row>
    <row r="210" spans="1:5">
      <c r="A210" s="94" t="s">
        <v>217</v>
      </c>
      <c r="B210" s="95" t="s">
        <v>188</v>
      </c>
      <c r="C210" s="96">
        <v>0.1</v>
      </c>
      <c r="D210" s="97">
        <v>75000</v>
      </c>
      <c r="E210" s="98">
        <f>ROUND(C210*D210,0)</f>
        <v>7500</v>
      </c>
    </row>
    <row r="211" spans="1:5">
      <c r="A211" s="99"/>
      <c r="B211" s="101">
        <f>+E211/D212</f>
        <v>1.3636363636363636E-2</v>
      </c>
      <c r="C211" s="98"/>
      <c r="D211" s="99" t="s">
        <v>209</v>
      </c>
      <c r="E211" s="100">
        <f>SUM(E210:E210)</f>
        <v>7500</v>
      </c>
    </row>
    <row r="212" spans="1:5">
      <c r="A212" s="213" t="s">
        <v>215</v>
      </c>
      <c r="B212" s="213"/>
      <c r="C212" s="213"/>
      <c r="D212" s="214">
        <f>+E211+E208+E205+E202</f>
        <v>550000</v>
      </c>
      <c r="E212" s="214"/>
    </row>
    <row r="214" spans="1:5" ht="20.25">
      <c r="A214" s="200" t="s">
        <v>216</v>
      </c>
      <c r="B214" s="201"/>
      <c r="C214" s="201"/>
      <c r="D214" s="201"/>
      <c r="E214" s="202"/>
    </row>
    <row r="215" spans="1:5">
      <c r="A215" s="203"/>
      <c r="B215" s="204"/>
      <c r="C215" s="205"/>
      <c r="D215" s="90" t="s">
        <v>199</v>
      </c>
      <c r="E215" s="90" t="s">
        <v>164</v>
      </c>
    </row>
    <row r="216" spans="1:5">
      <c r="A216" s="207"/>
      <c r="B216" s="208"/>
      <c r="C216" s="206"/>
      <c r="D216" s="91" t="s">
        <v>177</v>
      </c>
      <c r="E216" s="91" t="s">
        <v>188</v>
      </c>
    </row>
    <row r="217" spans="1:5" ht="15.75">
      <c r="A217" s="209" t="s">
        <v>200</v>
      </c>
      <c r="B217" s="209"/>
      <c r="C217" s="209"/>
      <c r="D217" s="209"/>
      <c r="E217" s="209"/>
    </row>
    <row r="218" spans="1:5" ht="45" customHeight="1">
      <c r="A218" s="210" t="s">
        <v>193</v>
      </c>
      <c r="B218" s="211"/>
      <c r="C218" s="211"/>
      <c r="D218" s="211"/>
      <c r="E218" s="212"/>
    </row>
    <row r="219" spans="1:5">
      <c r="A219" s="92" t="s">
        <v>201</v>
      </c>
      <c r="B219" s="93" t="s">
        <v>164</v>
      </c>
      <c r="C219" s="93" t="s">
        <v>2</v>
      </c>
      <c r="D219" s="93" t="s">
        <v>202</v>
      </c>
      <c r="E219" s="93" t="s">
        <v>203</v>
      </c>
    </row>
    <row r="220" spans="1:5">
      <c r="A220" s="94" t="s">
        <v>234</v>
      </c>
      <c r="B220" s="95" t="s">
        <v>188</v>
      </c>
      <c r="C220" s="96">
        <v>0.6</v>
      </c>
      <c r="D220" s="97">
        <v>140000</v>
      </c>
      <c r="E220" s="98">
        <f>ROUND(C220*D220,0)</f>
        <v>84000</v>
      </c>
    </row>
    <row r="221" spans="1:5">
      <c r="A221" s="94" t="s">
        <v>235</v>
      </c>
      <c r="B221" s="95" t="s">
        <v>188</v>
      </c>
      <c r="C221" s="96">
        <v>0.85</v>
      </c>
      <c r="D221" s="97">
        <v>140000</v>
      </c>
      <c r="E221" s="98">
        <f t="shared" ref="E221:E225" si="2">ROUND(C221*D221,0)</f>
        <v>119000</v>
      </c>
    </row>
    <row r="222" spans="1:5">
      <c r="A222" s="94" t="s">
        <v>236</v>
      </c>
      <c r="B222" s="95" t="s">
        <v>238</v>
      </c>
      <c r="C222" s="96">
        <v>7</v>
      </c>
      <c r="D222" s="97">
        <v>29000</v>
      </c>
      <c r="E222" s="98">
        <f t="shared" si="2"/>
        <v>203000</v>
      </c>
    </row>
    <row r="223" spans="1:5">
      <c r="A223" s="94" t="s">
        <v>239</v>
      </c>
      <c r="B223" s="95" t="s">
        <v>207</v>
      </c>
      <c r="C223" s="96">
        <v>0.05</v>
      </c>
      <c r="D223" s="97">
        <v>4900</v>
      </c>
      <c r="E223" s="98">
        <f t="shared" si="2"/>
        <v>245</v>
      </c>
    </row>
    <row r="224" spans="1:5">
      <c r="A224" s="94" t="s">
        <v>206</v>
      </c>
      <c r="B224" s="95" t="s">
        <v>164</v>
      </c>
      <c r="C224" s="96">
        <v>1</v>
      </c>
      <c r="D224" s="97">
        <v>6690</v>
      </c>
      <c r="E224" s="98">
        <f t="shared" si="2"/>
        <v>6690</v>
      </c>
    </row>
    <row r="225" spans="1:5">
      <c r="A225" s="94" t="s">
        <v>241</v>
      </c>
      <c r="B225" s="95" t="s">
        <v>164</v>
      </c>
      <c r="C225" s="96">
        <v>0.1</v>
      </c>
      <c r="D225" s="97">
        <v>280000</v>
      </c>
      <c r="E225" s="98">
        <f t="shared" si="2"/>
        <v>28000</v>
      </c>
    </row>
    <row r="226" spans="1:5">
      <c r="A226" s="99"/>
      <c r="B226" s="101">
        <f>+E226/D236</f>
        <v>0.84795192307692313</v>
      </c>
      <c r="C226" s="98"/>
      <c r="D226" s="99" t="s">
        <v>209</v>
      </c>
      <c r="E226" s="100">
        <f>SUM(E220:E225)</f>
        <v>440935</v>
      </c>
    </row>
    <row r="227" spans="1:5">
      <c r="A227" s="92" t="s">
        <v>210</v>
      </c>
      <c r="B227" s="93" t="s">
        <v>164</v>
      </c>
      <c r="C227" s="93" t="s">
        <v>2</v>
      </c>
      <c r="D227" s="93" t="s">
        <v>202</v>
      </c>
      <c r="E227" s="93" t="s">
        <v>203</v>
      </c>
    </row>
    <row r="228" spans="1:5">
      <c r="A228" s="94" t="s">
        <v>220</v>
      </c>
      <c r="B228" s="95" t="s">
        <v>212</v>
      </c>
      <c r="C228" s="96">
        <v>0.216643</v>
      </c>
      <c r="D228" s="97">
        <v>228570</v>
      </c>
      <c r="E228" s="98">
        <f>ROUND(C228*D228,0)</f>
        <v>49518</v>
      </c>
    </row>
    <row r="229" spans="1:5">
      <c r="A229" s="99"/>
      <c r="B229" s="101">
        <f>+E229/D236</f>
        <v>9.522692307692307E-2</v>
      </c>
      <c r="C229" s="98"/>
      <c r="D229" s="99" t="s">
        <v>209</v>
      </c>
      <c r="E229" s="100">
        <f>+E228</f>
        <v>49518</v>
      </c>
    </row>
    <row r="230" spans="1:5">
      <c r="A230" s="92" t="s">
        <v>218</v>
      </c>
      <c r="B230" s="93" t="s">
        <v>164</v>
      </c>
      <c r="C230" s="93" t="s">
        <v>2</v>
      </c>
      <c r="D230" s="93" t="s">
        <v>202</v>
      </c>
      <c r="E230" s="93" t="s">
        <v>203</v>
      </c>
    </row>
    <row r="231" spans="1:5">
      <c r="A231" s="94" t="s">
        <v>213</v>
      </c>
      <c r="B231" s="95" t="s">
        <v>214</v>
      </c>
      <c r="C231" s="96">
        <v>0.05</v>
      </c>
      <c r="D231" s="97">
        <f>+E226</f>
        <v>440935</v>
      </c>
      <c r="E231" s="98">
        <f>ROUND(C231*D231,0)</f>
        <v>22047</v>
      </c>
    </row>
    <row r="232" spans="1:5">
      <c r="A232" s="99"/>
      <c r="B232" s="101">
        <f>+E232/D236</f>
        <v>4.239807692307692E-2</v>
      </c>
      <c r="C232" s="98"/>
      <c r="D232" s="99" t="s">
        <v>209</v>
      </c>
      <c r="E232" s="100">
        <f>SUM(E231:E231)</f>
        <v>22047</v>
      </c>
    </row>
    <row r="233" spans="1:5">
      <c r="A233" s="92" t="s">
        <v>219</v>
      </c>
      <c r="B233" s="93" t="s">
        <v>164</v>
      </c>
      <c r="C233" s="93" t="s">
        <v>2</v>
      </c>
      <c r="D233" s="93" t="s">
        <v>202</v>
      </c>
      <c r="E233" s="93" t="s">
        <v>203</v>
      </c>
    </row>
    <row r="234" spans="1:5">
      <c r="A234" s="94" t="s">
        <v>217</v>
      </c>
      <c r="B234" s="95" t="s">
        <v>188</v>
      </c>
      <c r="C234" s="96">
        <v>0.1</v>
      </c>
      <c r="D234" s="97">
        <v>75000</v>
      </c>
      <c r="E234" s="98">
        <f>ROUND(C234*D234,0)</f>
        <v>7500</v>
      </c>
    </row>
    <row r="235" spans="1:5">
      <c r="A235" s="99"/>
      <c r="B235" s="101">
        <f>+E235/D236</f>
        <v>1.4423076923076924E-2</v>
      </c>
      <c r="C235" s="98"/>
      <c r="D235" s="99" t="s">
        <v>209</v>
      </c>
      <c r="E235" s="100">
        <f>SUM(E234:E234)</f>
        <v>7500</v>
      </c>
    </row>
    <row r="236" spans="1:5">
      <c r="A236" s="213" t="s">
        <v>215</v>
      </c>
      <c r="B236" s="213"/>
      <c r="C236" s="213"/>
      <c r="D236" s="214">
        <f>+E235+E232+E229+E226</f>
        <v>520000</v>
      </c>
      <c r="E236" s="214"/>
    </row>
    <row r="238" spans="1:5" ht="20.25">
      <c r="A238" s="200" t="s">
        <v>216</v>
      </c>
      <c r="B238" s="201"/>
      <c r="C238" s="201"/>
      <c r="D238" s="201"/>
      <c r="E238" s="202"/>
    </row>
    <row r="239" spans="1:5">
      <c r="A239" s="203"/>
      <c r="B239" s="204"/>
      <c r="C239" s="205"/>
      <c r="D239" s="90" t="s">
        <v>199</v>
      </c>
      <c r="E239" s="90" t="s">
        <v>164</v>
      </c>
    </row>
    <row r="240" spans="1:5">
      <c r="A240" s="207"/>
      <c r="B240" s="208"/>
      <c r="C240" s="206"/>
      <c r="D240" s="91" t="s">
        <v>224</v>
      </c>
      <c r="E240" s="91" t="s">
        <v>188</v>
      </c>
    </row>
    <row r="241" spans="1:5" ht="15.75">
      <c r="A241" s="209" t="s">
        <v>200</v>
      </c>
      <c r="B241" s="209"/>
      <c r="C241" s="209"/>
      <c r="D241" s="209"/>
      <c r="E241" s="209"/>
    </row>
    <row r="242" spans="1:5" ht="42" customHeight="1">
      <c r="A242" s="210" t="s">
        <v>333</v>
      </c>
      <c r="B242" s="211"/>
      <c r="C242" s="211"/>
      <c r="D242" s="211"/>
      <c r="E242" s="212"/>
    </row>
    <row r="243" spans="1:5">
      <c r="A243" s="92" t="s">
        <v>201</v>
      </c>
      <c r="B243" s="93" t="s">
        <v>164</v>
      </c>
      <c r="C243" s="93" t="s">
        <v>2</v>
      </c>
      <c r="D243" s="93" t="s">
        <v>202</v>
      </c>
      <c r="E243" s="93" t="s">
        <v>203</v>
      </c>
    </row>
    <row r="244" spans="1:5">
      <c r="A244" s="94" t="s">
        <v>234</v>
      </c>
      <c r="B244" s="95" t="s">
        <v>188</v>
      </c>
      <c r="C244" s="96">
        <v>0.6</v>
      </c>
      <c r="D244" s="97">
        <v>140000</v>
      </c>
      <c r="E244" s="98">
        <f>ROUND(C244*D244,0)</f>
        <v>84000</v>
      </c>
    </row>
    <row r="245" spans="1:5">
      <c r="A245" s="94" t="s">
        <v>235</v>
      </c>
      <c r="B245" s="95" t="s">
        <v>188</v>
      </c>
      <c r="C245" s="96">
        <v>0.85</v>
      </c>
      <c r="D245" s="97">
        <v>140000</v>
      </c>
      <c r="E245" s="98">
        <f t="shared" ref="E245:E249" si="3">ROUND(C245*D245,0)</f>
        <v>119000</v>
      </c>
    </row>
    <row r="246" spans="1:5">
      <c r="A246" s="94" t="s">
        <v>236</v>
      </c>
      <c r="B246" s="95" t="s">
        <v>238</v>
      </c>
      <c r="C246" s="96">
        <v>7</v>
      </c>
      <c r="D246" s="97">
        <v>29000</v>
      </c>
      <c r="E246" s="98">
        <f t="shared" si="3"/>
        <v>203000</v>
      </c>
    </row>
    <row r="247" spans="1:5">
      <c r="A247" s="94" t="s">
        <v>239</v>
      </c>
      <c r="B247" s="95" t="s">
        <v>207</v>
      </c>
      <c r="C247" s="96">
        <v>0.1</v>
      </c>
      <c r="D247" s="97">
        <v>4900</v>
      </c>
      <c r="E247" s="98">
        <f t="shared" si="3"/>
        <v>490</v>
      </c>
    </row>
    <row r="248" spans="1:5">
      <c r="A248" s="94" t="s">
        <v>206</v>
      </c>
      <c r="B248" s="95" t="s">
        <v>164</v>
      </c>
      <c r="C248" s="96">
        <v>1</v>
      </c>
      <c r="D248" s="97">
        <v>6690</v>
      </c>
      <c r="E248" s="98">
        <f t="shared" si="3"/>
        <v>6690</v>
      </c>
    </row>
    <row r="249" spans="1:5">
      <c r="A249" s="94" t="s">
        <v>241</v>
      </c>
      <c r="B249" s="95" t="s">
        <v>164</v>
      </c>
      <c r="C249" s="96">
        <v>0.2</v>
      </c>
      <c r="D249" s="97">
        <v>280000</v>
      </c>
      <c r="E249" s="98">
        <f t="shared" si="3"/>
        <v>56000</v>
      </c>
    </row>
    <row r="250" spans="1:5">
      <c r="A250" s="99"/>
      <c r="B250" s="101">
        <f>+E250/D260</f>
        <v>0.85305454545454551</v>
      </c>
      <c r="C250" s="98"/>
      <c r="D250" s="99" t="s">
        <v>209</v>
      </c>
      <c r="E250" s="100">
        <f>SUM(E244:E249)</f>
        <v>469180</v>
      </c>
    </row>
    <row r="251" spans="1:5">
      <c r="A251" s="92" t="s">
        <v>210</v>
      </c>
      <c r="B251" s="93" t="s">
        <v>164</v>
      </c>
      <c r="C251" s="93" t="s">
        <v>2</v>
      </c>
      <c r="D251" s="93" t="s">
        <v>202</v>
      </c>
      <c r="E251" s="93" t="s">
        <v>203</v>
      </c>
    </row>
    <row r="252" spans="1:5">
      <c r="A252" s="94" t="s">
        <v>220</v>
      </c>
      <c r="B252" s="95" t="s">
        <v>212</v>
      </c>
      <c r="C252" s="96">
        <v>0.218143</v>
      </c>
      <c r="D252" s="97">
        <v>228570</v>
      </c>
      <c r="E252" s="98">
        <f>ROUND(C252*D252,0)</f>
        <v>49861</v>
      </c>
    </row>
    <row r="253" spans="1:5">
      <c r="A253" s="99"/>
      <c r="B253" s="101">
        <f>+E253/D260</f>
        <v>9.0656363636363632E-2</v>
      </c>
      <c r="C253" s="98"/>
      <c r="D253" s="99" t="s">
        <v>209</v>
      </c>
      <c r="E253" s="100">
        <f>+E252</f>
        <v>49861</v>
      </c>
    </row>
    <row r="254" spans="1:5">
      <c r="A254" s="92" t="s">
        <v>218</v>
      </c>
      <c r="B254" s="93" t="s">
        <v>164</v>
      </c>
      <c r="C254" s="93" t="s">
        <v>2</v>
      </c>
      <c r="D254" s="93" t="s">
        <v>202</v>
      </c>
      <c r="E254" s="93" t="s">
        <v>203</v>
      </c>
    </row>
    <row r="255" spans="1:5">
      <c r="A255" s="94" t="s">
        <v>213</v>
      </c>
      <c r="B255" s="95" t="s">
        <v>214</v>
      </c>
      <c r="C255" s="96">
        <v>0.05</v>
      </c>
      <c r="D255" s="97">
        <f>+E250</f>
        <v>469180</v>
      </c>
      <c r="E255" s="98">
        <f>ROUND(C255*D255,0)</f>
        <v>23459</v>
      </c>
    </row>
    <row r="256" spans="1:5">
      <c r="A256" s="99"/>
      <c r="B256" s="101">
        <f>+E256/D260</f>
        <v>4.2652727272727273E-2</v>
      </c>
      <c r="C256" s="98"/>
      <c r="D256" s="99" t="s">
        <v>209</v>
      </c>
      <c r="E256" s="100">
        <f>SUM(E255:E255)</f>
        <v>23459</v>
      </c>
    </row>
    <row r="257" spans="1:5">
      <c r="A257" s="92" t="s">
        <v>219</v>
      </c>
      <c r="B257" s="93" t="s">
        <v>164</v>
      </c>
      <c r="C257" s="93" t="s">
        <v>2</v>
      </c>
      <c r="D257" s="93" t="s">
        <v>202</v>
      </c>
      <c r="E257" s="93" t="s">
        <v>203</v>
      </c>
    </row>
    <row r="258" spans="1:5">
      <c r="A258" s="94" t="s">
        <v>217</v>
      </c>
      <c r="B258" s="95" t="s">
        <v>188</v>
      </c>
      <c r="C258" s="96">
        <v>0.1</v>
      </c>
      <c r="D258" s="97">
        <v>75000</v>
      </c>
      <c r="E258" s="98">
        <f>ROUND(C258*D258,0)</f>
        <v>7500</v>
      </c>
    </row>
    <row r="259" spans="1:5">
      <c r="A259" s="99"/>
      <c r="B259" s="101">
        <f>+E259/D260</f>
        <v>1.3636363636363636E-2</v>
      </c>
      <c r="C259" s="98"/>
      <c r="D259" s="99" t="s">
        <v>209</v>
      </c>
      <c r="E259" s="100">
        <f>SUM(E258:E258)</f>
        <v>7500</v>
      </c>
    </row>
    <row r="260" spans="1:5">
      <c r="A260" s="213" t="s">
        <v>215</v>
      </c>
      <c r="B260" s="213"/>
      <c r="C260" s="213"/>
      <c r="D260" s="214">
        <f>+E259+E256+E253+E250</f>
        <v>550000</v>
      </c>
      <c r="E260" s="214"/>
    </row>
    <row r="262" spans="1:5" ht="20.25">
      <c r="A262" s="200" t="s">
        <v>216</v>
      </c>
      <c r="B262" s="201"/>
      <c r="C262" s="201"/>
      <c r="D262" s="201"/>
      <c r="E262" s="202"/>
    </row>
    <row r="263" spans="1:5">
      <c r="A263" s="203"/>
      <c r="B263" s="204"/>
      <c r="C263" s="218"/>
      <c r="D263" s="90" t="s">
        <v>199</v>
      </c>
      <c r="E263" s="90" t="s">
        <v>164</v>
      </c>
    </row>
    <row r="264" spans="1:5">
      <c r="A264" s="207"/>
      <c r="B264" s="208"/>
      <c r="C264" s="206"/>
      <c r="D264" s="91" t="s">
        <v>225</v>
      </c>
      <c r="E264" s="91" t="s">
        <v>188</v>
      </c>
    </row>
    <row r="265" spans="1:5" ht="15.75">
      <c r="A265" s="219" t="s">
        <v>200</v>
      </c>
      <c r="B265" s="220"/>
      <c r="C265" s="220"/>
      <c r="D265" s="220"/>
      <c r="E265" s="221"/>
    </row>
    <row r="266" spans="1:5" ht="56.25" customHeight="1">
      <c r="A266" s="210" t="s">
        <v>180</v>
      </c>
      <c r="B266" s="211"/>
      <c r="C266" s="211"/>
      <c r="D266" s="211"/>
      <c r="E266" s="212"/>
    </row>
    <row r="267" spans="1:5">
      <c r="A267" s="92" t="s">
        <v>201</v>
      </c>
      <c r="B267" s="109" t="s">
        <v>164</v>
      </c>
      <c r="C267" s="109" t="s">
        <v>2</v>
      </c>
      <c r="D267" s="109" t="s">
        <v>202</v>
      </c>
      <c r="E267" s="109" t="s">
        <v>203</v>
      </c>
    </row>
    <row r="268" spans="1:5">
      <c r="A268" s="94" t="s">
        <v>234</v>
      </c>
      <c r="B268" s="95" t="s">
        <v>188</v>
      </c>
      <c r="C268" s="96">
        <v>0.6</v>
      </c>
      <c r="D268" s="97">
        <v>140000</v>
      </c>
      <c r="E268" s="98">
        <f>ROUND(C268*D268,0)</f>
        <v>84000</v>
      </c>
    </row>
    <row r="269" spans="1:5">
      <c r="A269" s="94" t="s">
        <v>242</v>
      </c>
      <c r="B269" s="95" t="s">
        <v>188</v>
      </c>
      <c r="C269" s="96">
        <v>0.85</v>
      </c>
      <c r="D269" s="97">
        <v>200000</v>
      </c>
      <c r="E269" s="98">
        <f t="shared" ref="E269:E273" si="4">ROUND(C269*D269,0)</f>
        <v>170000</v>
      </c>
    </row>
    <row r="270" spans="1:5">
      <c r="A270" s="94" t="s">
        <v>236</v>
      </c>
      <c r="B270" s="95" t="s">
        <v>238</v>
      </c>
      <c r="C270" s="96">
        <v>7</v>
      </c>
      <c r="D270" s="97">
        <v>29000</v>
      </c>
      <c r="E270" s="98">
        <f t="shared" si="4"/>
        <v>203000</v>
      </c>
    </row>
    <row r="271" spans="1:5">
      <c r="A271" s="94" t="s">
        <v>239</v>
      </c>
      <c r="B271" s="95" t="s">
        <v>207</v>
      </c>
      <c r="C271" s="96">
        <v>0.1</v>
      </c>
      <c r="D271" s="97">
        <v>4900</v>
      </c>
      <c r="E271" s="98">
        <f t="shared" si="4"/>
        <v>490</v>
      </c>
    </row>
    <row r="272" spans="1:5">
      <c r="A272" s="94" t="s">
        <v>206</v>
      </c>
      <c r="B272" s="95" t="s">
        <v>164</v>
      </c>
      <c r="C272" s="96">
        <v>1</v>
      </c>
      <c r="D272" s="97">
        <v>6690</v>
      </c>
      <c r="E272" s="98">
        <f t="shared" si="4"/>
        <v>6690</v>
      </c>
    </row>
    <row r="273" spans="1:5">
      <c r="A273" s="94" t="s">
        <v>241</v>
      </c>
      <c r="B273" s="95" t="s">
        <v>164</v>
      </c>
      <c r="C273" s="96">
        <v>0.2</v>
      </c>
      <c r="D273" s="97">
        <v>280000</v>
      </c>
      <c r="E273" s="98">
        <f t="shared" si="4"/>
        <v>56000</v>
      </c>
    </row>
    <row r="274" spans="1:5">
      <c r="A274" s="99"/>
      <c r="B274" s="101">
        <f>+E274/D284</f>
        <v>0.86696666666666666</v>
      </c>
      <c r="C274" s="98"/>
      <c r="D274" s="99" t="s">
        <v>209</v>
      </c>
      <c r="E274" s="100">
        <f>SUM(E268:E273)</f>
        <v>520180</v>
      </c>
    </row>
    <row r="275" spans="1:5">
      <c r="A275" s="92" t="s">
        <v>210</v>
      </c>
      <c r="B275" s="109" t="s">
        <v>164</v>
      </c>
      <c r="C275" s="109" t="s">
        <v>2</v>
      </c>
      <c r="D275" s="109" t="s">
        <v>202</v>
      </c>
      <c r="E275" s="109" t="s">
        <v>203</v>
      </c>
    </row>
    <row r="276" spans="1:5">
      <c r="A276" s="94" t="s">
        <v>220</v>
      </c>
      <c r="B276" s="95" t="s">
        <v>212</v>
      </c>
      <c r="C276" s="96">
        <v>0.21901999999999999</v>
      </c>
      <c r="D276" s="97">
        <v>228570</v>
      </c>
      <c r="E276" s="98">
        <f>ROUND(C276*D276,0)</f>
        <v>50061</v>
      </c>
    </row>
    <row r="277" spans="1:5">
      <c r="A277" s="99"/>
      <c r="B277" s="101">
        <f>+E277/D284</f>
        <v>8.3434999999999995E-2</v>
      </c>
      <c r="C277" s="98"/>
      <c r="D277" s="99" t="s">
        <v>209</v>
      </c>
      <c r="E277" s="100">
        <f>+E276</f>
        <v>50061</v>
      </c>
    </row>
    <row r="278" spans="1:5">
      <c r="A278" s="92" t="s">
        <v>218</v>
      </c>
      <c r="B278" s="109" t="s">
        <v>164</v>
      </c>
      <c r="C278" s="109" t="s">
        <v>2</v>
      </c>
      <c r="D278" s="109" t="s">
        <v>202</v>
      </c>
      <c r="E278" s="109" t="s">
        <v>203</v>
      </c>
    </row>
    <row r="279" spans="1:5">
      <c r="A279" s="94" t="s">
        <v>213</v>
      </c>
      <c r="B279" s="95" t="s">
        <v>214</v>
      </c>
      <c r="C279" s="96">
        <v>0.05</v>
      </c>
      <c r="D279" s="97">
        <f>+E274</f>
        <v>520180</v>
      </c>
      <c r="E279" s="98">
        <f>ROUND(C279*D279,0)</f>
        <v>26009</v>
      </c>
    </row>
    <row r="280" spans="1:5">
      <c r="A280" s="99"/>
      <c r="B280" s="101">
        <f>+E280/D284</f>
        <v>4.3348333333333336E-2</v>
      </c>
      <c r="C280" s="98"/>
      <c r="D280" s="99" t="s">
        <v>209</v>
      </c>
      <c r="E280" s="100">
        <f>SUM(E279:E279)</f>
        <v>26009</v>
      </c>
    </row>
    <row r="281" spans="1:5">
      <c r="A281" s="92" t="s">
        <v>219</v>
      </c>
      <c r="B281" s="109" t="s">
        <v>164</v>
      </c>
      <c r="C281" s="109" t="s">
        <v>2</v>
      </c>
      <c r="D281" s="109" t="s">
        <v>202</v>
      </c>
      <c r="E281" s="109" t="s">
        <v>203</v>
      </c>
    </row>
    <row r="282" spans="1:5">
      <c r="A282" s="94" t="s">
        <v>217</v>
      </c>
      <c r="B282" s="95" t="s">
        <v>188</v>
      </c>
      <c r="C282" s="96">
        <v>0.05</v>
      </c>
      <c r="D282" s="97">
        <v>75000</v>
      </c>
      <c r="E282" s="98">
        <f>ROUND(C282*D282,0)</f>
        <v>3750</v>
      </c>
    </row>
    <row r="283" spans="1:5">
      <c r="A283" s="99"/>
      <c r="B283" s="101">
        <f>+E283/D284</f>
        <v>6.2500000000000003E-3</v>
      </c>
      <c r="C283" s="98"/>
      <c r="D283" s="99" t="s">
        <v>209</v>
      </c>
      <c r="E283" s="100">
        <f>SUM(E282:E282)</f>
        <v>3750</v>
      </c>
    </row>
    <row r="284" spans="1:5">
      <c r="A284" s="213" t="s">
        <v>215</v>
      </c>
      <c r="B284" s="213"/>
      <c r="C284" s="213"/>
      <c r="D284" s="214">
        <f>+E283+E280+E277+E274</f>
        <v>600000</v>
      </c>
      <c r="E284" s="214"/>
    </row>
    <row r="286" spans="1:5" ht="20.25">
      <c r="A286" s="200" t="s">
        <v>216</v>
      </c>
      <c r="B286" s="201"/>
      <c r="C286" s="201"/>
      <c r="D286" s="201"/>
      <c r="E286" s="202"/>
    </row>
    <row r="287" spans="1:5">
      <c r="A287" s="203"/>
      <c r="B287" s="204"/>
      <c r="C287" s="205"/>
      <c r="D287" s="90" t="s">
        <v>199</v>
      </c>
      <c r="E287" s="90" t="s">
        <v>164</v>
      </c>
    </row>
    <row r="288" spans="1:5">
      <c r="A288" s="207"/>
      <c r="B288" s="208"/>
      <c r="C288" s="206"/>
      <c r="D288" s="91" t="s">
        <v>226</v>
      </c>
      <c r="E288" s="91" t="s">
        <v>164</v>
      </c>
    </row>
    <row r="289" spans="1:5" ht="15.75">
      <c r="A289" s="209" t="s">
        <v>200</v>
      </c>
      <c r="B289" s="209"/>
      <c r="C289" s="209"/>
      <c r="D289" s="209"/>
      <c r="E289" s="209"/>
    </row>
    <row r="290" spans="1:5" ht="59.25" customHeight="1">
      <c r="A290" s="210" t="s">
        <v>243</v>
      </c>
      <c r="B290" s="211"/>
      <c r="C290" s="211"/>
      <c r="D290" s="211"/>
      <c r="E290" s="212"/>
    </row>
    <row r="291" spans="1:5">
      <c r="A291" s="92" t="s">
        <v>201</v>
      </c>
      <c r="B291" s="93" t="s">
        <v>164</v>
      </c>
      <c r="C291" s="93" t="s">
        <v>2</v>
      </c>
      <c r="D291" s="93" t="s">
        <v>202</v>
      </c>
      <c r="E291" s="93" t="s">
        <v>203</v>
      </c>
    </row>
    <row r="292" spans="1:5">
      <c r="A292" s="94" t="s">
        <v>244</v>
      </c>
      <c r="B292" s="95" t="s">
        <v>190</v>
      </c>
      <c r="C292" s="96">
        <v>0.45</v>
      </c>
      <c r="D292" s="97">
        <v>3004</v>
      </c>
      <c r="E292" s="98">
        <f>ROUND(C292*D292,0)</f>
        <v>1352</v>
      </c>
    </row>
    <row r="293" spans="1:5" ht="25.5">
      <c r="A293" s="173" t="s">
        <v>245</v>
      </c>
      <c r="B293" s="95" t="s">
        <v>246</v>
      </c>
      <c r="C293" s="96">
        <v>0.04</v>
      </c>
      <c r="D293" s="97">
        <v>236613</v>
      </c>
      <c r="E293" s="98">
        <f t="shared" ref="E293" si="5">ROUND(C293*D293,0)</f>
        <v>9465</v>
      </c>
    </row>
    <row r="294" spans="1:5">
      <c r="A294" s="99"/>
      <c r="B294" s="101">
        <f>+E294/D304</f>
        <v>0.43268000000000001</v>
      </c>
      <c r="C294" s="98"/>
      <c r="D294" s="99" t="s">
        <v>209</v>
      </c>
      <c r="E294" s="100">
        <f>SUM(E292:E293)</f>
        <v>10817</v>
      </c>
    </row>
    <row r="295" spans="1:5">
      <c r="A295" s="92" t="s">
        <v>210</v>
      </c>
      <c r="B295" s="93" t="s">
        <v>164</v>
      </c>
      <c r="C295" s="93" t="s">
        <v>2</v>
      </c>
      <c r="D295" s="93" t="s">
        <v>202</v>
      </c>
      <c r="E295" s="93" t="s">
        <v>203</v>
      </c>
    </row>
    <row r="296" spans="1:5">
      <c r="A296" s="94" t="s">
        <v>247</v>
      </c>
      <c r="B296" s="95" t="s">
        <v>212</v>
      </c>
      <c r="C296" s="96">
        <v>7.51E-2</v>
      </c>
      <c r="D296" s="97">
        <v>171670</v>
      </c>
      <c r="E296" s="98">
        <f>ROUND(C296*D296,0)</f>
        <v>12892</v>
      </c>
    </row>
    <row r="297" spans="1:5">
      <c r="A297" s="99"/>
      <c r="B297" s="101">
        <f>+E297/D304</f>
        <v>0.51568000000000003</v>
      </c>
      <c r="C297" s="98"/>
      <c r="D297" s="99" t="s">
        <v>209</v>
      </c>
      <c r="E297" s="100">
        <f>+E296</f>
        <v>12892</v>
      </c>
    </row>
    <row r="298" spans="1:5">
      <c r="A298" s="92" t="s">
        <v>218</v>
      </c>
      <c r="B298" s="93" t="s">
        <v>164</v>
      </c>
      <c r="C298" s="93" t="s">
        <v>2</v>
      </c>
      <c r="D298" s="93" t="s">
        <v>202</v>
      </c>
      <c r="E298" s="93" t="s">
        <v>203</v>
      </c>
    </row>
    <row r="299" spans="1:5">
      <c r="A299" s="94" t="s">
        <v>213</v>
      </c>
      <c r="B299" s="95" t="s">
        <v>214</v>
      </c>
      <c r="C299" s="96">
        <v>0.05</v>
      </c>
      <c r="D299" s="97">
        <f>+E294</f>
        <v>10817</v>
      </c>
      <c r="E299" s="98">
        <f>ROUND(C299*D299,0)</f>
        <v>541</v>
      </c>
    </row>
    <row r="300" spans="1:5">
      <c r="A300" s="99"/>
      <c r="B300" s="101">
        <f>+E300/D304</f>
        <v>2.164E-2</v>
      </c>
      <c r="C300" s="98"/>
      <c r="D300" s="99" t="s">
        <v>209</v>
      </c>
      <c r="E300" s="100">
        <f>SUM(E299:E299)</f>
        <v>541</v>
      </c>
    </row>
    <row r="301" spans="1:5">
      <c r="A301" s="92" t="s">
        <v>219</v>
      </c>
      <c r="B301" s="93" t="s">
        <v>164</v>
      </c>
      <c r="C301" s="93" t="s">
        <v>2</v>
      </c>
      <c r="D301" s="93" t="s">
        <v>202</v>
      </c>
      <c r="E301" s="93" t="s">
        <v>203</v>
      </c>
    </row>
    <row r="302" spans="1:5">
      <c r="A302" s="94" t="s">
        <v>217</v>
      </c>
      <c r="B302" s="95" t="s">
        <v>188</v>
      </c>
      <c r="C302" s="96">
        <v>0.01</v>
      </c>
      <c r="D302" s="97">
        <v>75000</v>
      </c>
      <c r="E302" s="98">
        <f>ROUND(C302*D302,0)</f>
        <v>750</v>
      </c>
    </row>
    <row r="303" spans="1:5">
      <c r="A303" s="99"/>
      <c r="B303" s="101">
        <f>+E303/D304</f>
        <v>0.03</v>
      </c>
      <c r="C303" s="98"/>
      <c r="D303" s="99" t="s">
        <v>209</v>
      </c>
      <c r="E303" s="100">
        <f>SUM(E302:E302)</f>
        <v>750</v>
      </c>
    </row>
    <row r="304" spans="1:5">
      <c r="A304" s="213" t="s">
        <v>215</v>
      </c>
      <c r="B304" s="213"/>
      <c r="C304" s="213"/>
      <c r="D304" s="214">
        <f>+E303+E300+E297+E294</f>
        <v>25000</v>
      </c>
      <c r="E304" s="214"/>
    </row>
    <row r="306" spans="1:5" ht="20.25">
      <c r="A306" s="200" t="s">
        <v>216</v>
      </c>
      <c r="B306" s="201"/>
      <c r="C306" s="201"/>
      <c r="D306" s="201"/>
      <c r="E306" s="202"/>
    </row>
    <row r="307" spans="1:5">
      <c r="A307" s="203"/>
      <c r="B307" s="204"/>
      <c r="C307" s="205"/>
      <c r="D307" s="90" t="s">
        <v>199</v>
      </c>
      <c r="E307" s="90" t="s">
        <v>164</v>
      </c>
    </row>
    <row r="308" spans="1:5">
      <c r="A308" s="207"/>
      <c r="B308" s="208"/>
      <c r="C308" s="206"/>
      <c r="D308" s="91" t="s">
        <v>227</v>
      </c>
      <c r="E308" s="91" t="s">
        <v>189</v>
      </c>
    </row>
    <row r="309" spans="1:5" ht="15.75">
      <c r="A309" s="209" t="s">
        <v>200</v>
      </c>
      <c r="B309" s="209"/>
      <c r="C309" s="209"/>
      <c r="D309" s="209"/>
      <c r="E309" s="209"/>
    </row>
    <row r="310" spans="1:5" ht="45" customHeight="1">
      <c r="A310" s="210" t="s">
        <v>273</v>
      </c>
      <c r="B310" s="211"/>
      <c r="C310" s="211"/>
      <c r="D310" s="211"/>
      <c r="E310" s="212"/>
    </row>
    <row r="311" spans="1:5">
      <c r="A311" s="92" t="s">
        <v>201</v>
      </c>
      <c r="B311" s="93" t="s">
        <v>164</v>
      </c>
      <c r="C311" s="93" t="s">
        <v>2</v>
      </c>
      <c r="D311" s="93" t="s">
        <v>202</v>
      </c>
      <c r="E311" s="93" t="s">
        <v>203</v>
      </c>
    </row>
    <row r="312" spans="1:5">
      <c r="A312" s="94" t="s">
        <v>234</v>
      </c>
      <c r="B312" s="95" t="s">
        <v>188</v>
      </c>
      <c r="C312" s="96">
        <v>0.2</v>
      </c>
      <c r="D312" s="97">
        <v>140000</v>
      </c>
      <c r="E312" s="98">
        <f>ROUND(C312*D312,0)</f>
        <v>28000</v>
      </c>
    </row>
    <row r="313" spans="1:5">
      <c r="A313" s="94" t="s">
        <v>242</v>
      </c>
      <c r="B313" s="95" t="s">
        <v>188</v>
      </c>
      <c r="C313" s="96">
        <v>0.1</v>
      </c>
      <c r="D313" s="97">
        <v>200000</v>
      </c>
      <c r="E313" s="98">
        <f t="shared" ref="E313:E317" si="6">ROUND(C313*D313,0)</f>
        <v>20000</v>
      </c>
    </row>
    <row r="314" spans="1:5">
      <c r="A314" s="94" t="s">
        <v>236</v>
      </c>
      <c r="B314" s="95" t="s">
        <v>238</v>
      </c>
      <c r="C314" s="96">
        <v>1</v>
      </c>
      <c r="D314" s="97">
        <v>29000</v>
      </c>
      <c r="E314" s="98">
        <f t="shared" si="6"/>
        <v>29000</v>
      </c>
    </row>
    <row r="315" spans="1:5">
      <c r="A315" s="94" t="s">
        <v>239</v>
      </c>
      <c r="B315" s="95" t="s">
        <v>207</v>
      </c>
      <c r="C315" s="96">
        <v>0.1</v>
      </c>
      <c r="D315" s="97">
        <v>4900</v>
      </c>
      <c r="E315" s="98">
        <f t="shared" si="6"/>
        <v>490</v>
      </c>
    </row>
    <row r="316" spans="1:5">
      <c r="A316" s="94" t="s">
        <v>206</v>
      </c>
      <c r="B316" s="95" t="s">
        <v>164</v>
      </c>
      <c r="C316" s="96">
        <v>1</v>
      </c>
      <c r="D316" s="97">
        <v>6690</v>
      </c>
      <c r="E316" s="98">
        <f t="shared" si="6"/>
        <v>6690</v>
      </c>
    </row>
    <row r="317" spans="1:5">
      <c r="A317" s="94" t="s">
        <v>241</v>
      </c>
      <c r="B317" s="95" t="s">
        <v>164</v>
      </c>
      <c r="C317" s="96">
        <v>0.12</v>
      </c>
      <c r="D317" s="97">
        <v>280000</v>
      </c>
      <c r="E317" s="98">
        <f t="shared" si="6"/>
        <v>33600</v>
      </c>
    </row>
    <row r="318" spans="1:5">
      <c r="A318" s="94" t="s">
        <v>248</v>
      </c>
      <c r="B318" s="95" t="s">
        <v>186</v>
      </c>
      <c r="C318" s="96">
        <v>0.1</v>
      </c>
      <c r="D318" s="97">
        <v>125000</v>
      </c>
      <c r="E318" s="98">
        <f t="shared" ref="E318" si="7">ROUND(C318*D318,0)</f>
        <v>12500</v>
      </c>
    </row>
    <row r="319" spans="1:5">
      <c r="A319" s="99"/>
      <c r="B319" s="101">
        <f>+E319/D329</f>
        <v>0.74445714285714282</v>
      </c>
      <c r="C319" s="98"/>
      <c r="D319" s="99" t="s">
        <v>209</v>
      </c>
      <c r="E319" s="100">
        <f>SUM(E312:E318)</f>
        <v>130280</v>
      </c>
    </row>
    <row r="320" spans="1:5">
      <c r="A320" s="92" t="s">
        <v>210</v>
      </c>
      <c r="B320" s="93" t="s">
        <v>164</v>
      </c>
      <c r="C320" s="93" t="s">
        <v>2</v>
      </c>
      <c r="D320" s="93" t="s">
        <v>202</v>
      </c>
      <c r="E320" s="93" t="s">
        <v>203</v>
      </c>
    </row>
    <row r="321" spans="1:5">
      <c r="A321" s="94" t="s">
        <v>220</v>
      </c>
      <c r="B321" s="95" t="s">
        <v>212</v>
      </c>
      <c r="C321" s="96">
        <v>0.16386899999999999</v>
      </c>
      <c r="D321" s="97">
        <v>228570</v>
      </c>
      <c r="E321" s="98">
        <f>ROUND(C321*D321,0)</f>
        <v>37456</v>
      </c>
    </row>
    <row r="322" spans="1:5">
      <c r="A322" s="99"/>
      <c r="B322" s="101">
        <f>+E322/D329</f>
        <v>0.2140342857142857</v>
      </c>
      <c r="C322" s="98"/>
      <c r="D322" s="99" t="s">
        <v>209</v>
      </c>
      <c r="E322" s="100">
        <f>+E321</f>
        <v>37456</v>
      </c>
    </row>
    <row r="323" spans="1:5">
      <c r="A323" s="92" t="s">
        <v>218</v>
      </c>
      <c r="B323" s="93" t="s">
        <v>164</v>
      </c>
      <c r="C323" s="93" t="s">
        <v>2</v>
      </c>
      <c r="D323" s="93" t="s">
        <v>202</v>
      </c>
      <c r="E323" s="93" t="s">
        <v>203</v>
      </c>
    </row>
    <row r="324" spans="1:5">
      <c r="A324" s="94" t="s">
        <v>213</v>
      </c>
      <c r="B324" s="95" t="s">
        <v>214</v>
      </c>
      <c r="C324" s="96">
        <v>0.05</v>
      </c>
      <c r="D324" s="97">
        <f>+E319</f>
        <v>130280</v>
      </c>
      <c r="E324" s="98">
        <f>ROUND(C324*D324,0)</f>
        <v>6514</v>
      </c>
    </row>
    <row r="325" spans="1:5">
      <c r="A325" s="99"/>
      <c r="B325" s="101">
        <f>+E325/D329</f>
        <v>3.7222857142857141E-2</v>
      </c>
      <c r="C325" s="98"/>
      <c r="D325" s="99" t="s">
        <v>209</v>
      </c>
      <c r="E325" s="100">
        <f>SUM(E324:E324)</f>
        <v>6514</v>
      </c>
    </row>
    <row r="326" spans="1:5">
      <c r="A326" s="92" t="s">
        <v>219</v>
      </c>
      <c r="B326" s="93" t="s">
        <v>164</v>
      </c>
      <c r="C326" s="93" t="s">
        <v>2</v>
      </c>
      <c r="D326" s="93" t="s">
        <v>202</v>
      </c>
      <c r="E326" s="93" t="s">
        <v>203</v>
      </c>
    </row>
    <row r="327" spans="1:5">
      <c r="A327" s="94" t="s">
        <v>217</v>
      </c>
      <c r="B327" s="95" t="s">
        <v>188</v>
      </c>
      <c r="C327" s="96">
        <v>0.01</v>
      </c>
      <c r="D327" s="97">
        <v>75000</v>
      </c>
      <c r="E327" s="98">
        <f>ROUND(C327*D327,0)</f>
        <v>750</v>
      </c>
    </row>
    <row r="328" spans="1:5">
      <c r="A328" s="99"/>
      <c r="B328" s="101">
        <f>+E328/D329</f>
        <v>4.2857142857142859E-3</v>
      </c>
      <c r="C328" s="98"/>
      <c r="D328" s="99" t="s">
        <v>209</v>
      </c>
      <c r="E328" s="100">
        <f>SUM(E327:E327)</f>
        <v>750</v>
      </c>
    </row>
    <row r="329" spans="1:5">
      <c r="A329" s="213" t="s">
        <v>215</v>
      </c>
      <c r="B329" s="213"/>
      <c r="C329" s="213"/>
      <c r="D329" s="214">
        <f>+E328+E325+E322+E319</f>
        <v>175000</v>
      </c>
      <c r="E329" s="214"/>
    </row>
    <row r="331" spans="1:5" ht="20.25">
      <c r="A331" s="200" t="s">
        <v>216</v>
      </c>
      <c r="B331" s="201"/>
      <c r="C331" s="201"/>
      <c r="D331" s="201"/>
      <c r="E331" s="202"/>
    </row>
    <row r="332" spans="1:5">
      <c r="A332" s="203"/>
      <c r="B332" s="204"/>
      <c r="C332" s="205"/>
      <c r="D332" s="90" t="s">
        <v>199</v>
      </c>
      <c r="E332" s="90" t="s">
        <v>164</v>
      </c>
    </row>
    <row r="333" spans="1:5">
      <c r="A333" s="207"/>
      <c r="B333" s="208"/>
      <c r="C333" s="206"/>
      <c r="D333" s="91" t="s">
        <v>228</v>
      </c>
      <c r="E333" s="91" t="s">
        <v>189</v>
      </c>
    </row>
    <row r="334" spans="1:5" ht="15.75">
      <c r="A334" s="209" t="s">
        <v>200</v>
      </c>
      <c r="B334" s="209"/>
      <c r="C334" s="209"/>
      <c r="D334" s="209"/>
      <c r="E334" s="209"/>
    </row>
    <row r="335" spans="1:5" ht="53.25" customHeight="1">
      <c r="A335" s="210" t="s">
        <v>638</v>
      </c>
      <c r="B335" s="211"/>
      <c r="C335" s="211"/>
      <c r="D335" s="211"/>
      <c r="E335" s="212"/>
    </row>
    <row r="336" spans="1:5">
      <c r="A336" s="92" t="s">
        <v>201</v>
      </c>
      <c r="B336" s="93" t="s">
        <v>164</v>
      </c>
      <c r="C336" s="93" t="s">
        <v>2</v>
      </c>
      <c r="D336" s="93" t="s">
        <v>202</v>
      </c>
      <c r="E336" s="93" t="s">
        <v>203</v>
      </c>
    </row>
    <row r="337" spans="1:5">
      <c r="A337" s="94" t="s">
        <v>234</v>
      </c>
      <c r="B337" s="95" t="s">
        <v>188</v>
      </c>
      <c r="C337" s="96">
        <v>0.1</v>
      </c>
      <c r="D337" s="97">
        <v>140000</v>
      </c>
      <c r="E337" s="98">
        <f>ROUND(C337*D337,0)</f>
        <v>14000</v>
      </c>
    </row>
    <row r="338" spans="1:5">
      <c r="A338" s="94" t="s">
        <v>242</v>
      </c>
      <c r="B338" s="95" t="s">
        <v>188</v>
      </c>
      <c r="C338" s="96">
        <v>7.0000000000000007E-2</v>
      </c>
      <c r="D338" s="97">
        <v>200000</v>
      </c>
      <c r="E338" s="98">
        <f t="shared" ref="E338:E343" si="8">ROUND(C338*D338,0)</f>
        <v>14000</v>
      </c>
    </row>
    <row r="339" spans="1:5">
      <c r="A339" s="94" t="s">
        <v>236</v>
      </c>
      <c r="B339" s="95" t="s">
        <v>238</v>
      </c>
      <c r="C339" s="96">
        <v>0.3</v>
      </c>
      <c r="D339" s="97">
        <v>29000</v>
      </c>
      <c r="E339" s="98">
        <f t="shared" si="8"/>
        <v>8700</v>
      </c>
    </row>
    <row r="340" spans="1:5">
      <c r="A340" s="94" t="s">
        <v>239</v>
      </c>
      <c r="B340" s="95" t="s">
        <v>207</v>
      </c>
      <c r="C340" s="96">
        <v>0.1</v>
      </c>
      <c r="D340" s="97">
        <v>4900</v>
      </c>
      <c r="E340" s="98">
        <f t="shared" si="8"/>
        <v>490</v>
      </c>
    </row>
    <row r="341" spans="1:5">
      <c r="A341" s="94" t="s">
        <v>206</v>
      </c>
      <c r="B341" s="95" t="s">
        <v>164</v>
      </c>
      <c r="C341" s="96">
        <v>1</v>
      </c>
      <c r="D341" s="97">
        <v>6690</v>
      </c>
      <c r="E341" s="98">
        <f t="shared" si="8"/>
        <v>6690</v>
      </c>
    </row>
    <row r="342" spans="1:5">
      <c r="A342" s="94" t="s">
        <v>241</v>
      </c>
      <c r="B342" s="95" t="s">
        <v>164</v>
      </c>
      <c r="C342" s="96">
        <v>0.3</v>
      </c>
      <c r="D342" s="97">
        <v>280000</v>
      </c>
      <c r="E342" s="98">
        <f t="shared" si="8"/>
        <v>84000</v>
      </c>
    </row>
    <row r="343" spans="1:5">
      <c r="A343" s="94"/>
      <c r="B343" s="95"/>
      <c r="C343" s="96"/>
      <c r="D343" s="97"/>
      <c r="E343" s="98">
        <f t="shared" si="8"/>
        <v>0</v>
      </c>
    </row>
    <row r="344" spans="1:5">
      <c r="A344" s="99"/>
      <c r="B344" s="101">
        <f>+E344/D354</f>
        <v>0.62840294840294841</v>
      </c>
      <c r="C344" s="98"/>
      <c r="D344" s="99" t="s">
        <v>209</v>
      </c>
      <c r="E344" s="100">
        <f>SUM(E337:E343)</f>
        <v>127880</v>
      </c>
    </row>
    <row r="345" spans="1:5">
      <c r="A345" s="92" t="s">
        <v>210</v>
      </c>
      <c r="B345" s="93" t="s">
        <v>164</v>
      </c>
      <c r="C345" s="93" t="s">
        <v>2</v>
      </c>
      <c r="D345" s="93" t="s">
        <v>202</v>
      </c>
      <c r="E345" s="93" t="s">
        <v>203</v>
      </c>
    </row>
    <row r="346" spans="1:5">
      <c r="A346" s="94" t="s">
        <v>220</v>
      </c>
      <c r="B346" s="95" t="s">
        <v>212</v>
      </c>
      <c r="C346" s="96">
        <v>0.3</v>
      </c>
      <c r="D346" s="97">
        <v>228570</v>
      </c>
      <c r="E346" s="98">
        <f>ROUND(C346*D346,0)</f>
        <v>68571</v>
      </c>
    </row>
    <row r="347" spans="1:5">
      <c r="A347" s="99"/>
      <c r="B347" s="101">
        <f>+E347/D354</f>
        <v>0.33695823095823096</v>
      </c>
      <c r="C347" s="98"/>
      <c r="D347" s="99" t="s">
        <v>209</v>
      </c>
      <c r="E347" s="100">
        <f>+E346</f>
        <v>68571</v>
      </c>
    </row>
    <row r="348" spans="1:5">
      <c r="A348" s="92" t="s">
        <v>218</v>
      </c>
      <c r="B348" s="93" t="s">
        <v>164</v>
      </c>
      <c r="C348" s="93" t="s">
        <v>2</v>
      </c>
      <c r="D348" s="93" t="s">
        <v>202</v>
      </c>
      <c r="E348" s="93" t="s">
        <v>203</v>
      </c>
    </row>
    <row r="349" spans="1:5">
      <c r="A349" s="94" t="s">
        <v>213</v>
      </c>
      <c r="B349" s="95" t="s">
        <v>214</v>
      </c>
      <c r="C349" s="96">
        <v>4.9259999999999998E-2</v>
      </c>
      <c r="D349" s="97">
        <f>+E344</f>
        <v>127880</v>
      </c>
      <c r="E349" s="98">
        <f>ROUND(C349*D349,0)</f>
        <v>6299</v>
      </c>
    </row>
    <row r="350" spans="1:5">
      <c r="A350" s="99"/>
      <c r="B350" s="101">
        <f>+E350/D354</f>
        <v>3.0953316953316955E-2</v>
      </c>
      <c r="C350" s="98"/>
      <c r="D350" s="99" t="s">
        <v>209</v>
      </c>
      <c r="E350" s="100">
        <f>SUM(E349:E349)</f>
        <v>6299</v>
      </c>
    </row>
    <row r="351" spans="1:5">
      <c r="A351" s="92" t="s">
        <v>219</v>
      </c>
      <c r="B351" s="93" t="s">
        <v>164</v>
      </c>
      <c r="C351" s="93" t="s">
        <v>2</v>
      </c>
      <c r="D351" s="93" t="s">
        <v>202</v>
      </c>
      <c r="E351" s="93" t="s">
        <v>203</v>
      </c>
    </row>
    <row r="352" spans="1:5">
      <c r="A352" s="94" t="s">
        <v>217</v>
      </c>
      <c r="B352" s="95" t="s">
        <v>188</v>
      </c>
      <c r="C352" s="96">
        <v>0.01</v>
      </c>
      <c r="D352" s="97">
        <v>75000</v>
      </c>
      <c r="E352" s="98">
        <f>ROUND(C352*D352,0)</f>
        <v>750</v>
      </c>
    </row>
    <row r="353" spans="1:5">
      <c r="A353" s="99"/>
      <c r="B353" s="101">
        <f>+E353/D354</f>
        <v>3.6855036855036856E-3</v>
      </c>
      <c r="C353" s="98"/>
      <c r="D353" s="99" t="s">
        <v>209</v>
      </c>
      <c r="E353" s="100">
        <f>SUM(E352:E352)</f>
        <v>750</v>
      </c>
    </row>
    <row r="354" spans="1:5">
      <c r="A354" s="213" t="s">
        <v>215</v>
      </c>
      <c r="B354" s="213"/>
      <c r="C354" s="213"/>
      <c r="D354" s="214">
        <f>+E353+E350+E347+E344</f>
        <v>203500</v>
      </c>
      <c r="E354" s="214"/>
    </row>
    <row r="356" spans="1:5" ht="20.25">
      <c r="A356" s="200" t="s">
        <v>216</v>
      </c>
      <c r="B356" s="201"/>
      <c r="C356" s="201"/>
      <c r="D356" s="201"/>
      <c r="E356" s="202"/>
    </row>
    <row r="357" spans="1:5">
      <c r="A357" s="203"/>
      <c r="B357" s="204"/>
      <c r="C357" s="205"/>
      <c r="D357" s="90" t="s">
        <v>199</v>
      </c>
      <c r="E357" s="90" t="s">
        <v>164</v>
      </c>
    </row>
    <row r="358" spans="1:5">
      <c r="A358" s="207"/>
      <c r="B358" s="208"/>
      <c r="C358" s="206"/>
      <c r="D358" s="91" t="s">
        <v>639</v>
      </c>
      <c r="E358" s="91" t="s">
        <v>189</v>
      </c>
    </row>
    <row r="359" spans="1:5" ht="15.75">
      <c r="A359" s="209" t="s">
        <v>200</v>
      </c>
      <c r="B359" s="209"/>
      <c r="C359" s="209"/>
      <c r="D359" s="209"/>
      <c r="E359" s="209"/>
    </row>
    <row r="360" spans="1:5" ht="42" customHeight="1">
      <c r="A360" s="210" t="s">
        <v>334</v>
      </c>
      <c r="B360" s="211"/>
      <c r="C360" s="211"/>
      <c r="D360" s="211"/>
      <c r="E360" s="212"/>
    </row>
    <row r="361" spans="1:5">
      <c r="A361" s="92" t="s">
        <v>201</v>
      </c>
      <c r="B361" s="93" t="s">
        <v>164</v>
      </c>
      <c r="C361" s="93" t="s">
        <v>2</v>
      </c>
      <c r="D361" s="93" t="s">
        <v>202</v>
      </c>
      <c r="E361" s="93" t="s">
        <v>203</v>
      </c>
    </row>
    <row r="362" spans="1:5">
      <c r="A362" s="94" t="s">
        <v>234</v>
      </c>
      <c r="B362" s="95" t="s">
        <v>188</v>
      </c>
      <c r="C362" s="96">
        <v>0.6</v>
      </c>
      <c r="D362" s="97">
        <v>140000</v>
      </c>
      <c r="E362" s="98">
        <f>ROUND(C362*D362,0)</f>
        <v>84000</v>
      </c>
    </row>
    <row r="363" spans="1:5">
      <c r="A363" s="94" t="s">
        <v>235</v>
      </c>
      <c r="B363" s="95" t="s">
        <v>188</v>
      </c>
      <c r="C363" s="96">
        <v>0.85</v>
      </c>
      <c r="D363" s="97">
        <v>140000</v>
      </c>
      <c r="E363" s="98">
        <f t="shared" ref="E363:E367" si="9">ROUND(C363*D363,0)</f>
        <v>119000</v>
      </c>
    </row>
    <row r="364" spans="1:5">
      <c r="A364" s="94" t="s">
        <v>236</v>
      </c>
      <c r="B364" s="95" t="s">
        <v>238</v>
      </c>
      <c r="C364" s="96">
        <v>7</v>
      </c>
      <c r="D364" s="97">
        <v>29000</v>
      </c>
      <c r="E364" s="98">
        <f t="shared" si="9"/>
        <v>203000</v>
      </c>
    </row>
    <row r="365" spans="1:5">
      <c r="A365" s="94" t="s">
        <v>239</v>
      </c>
      <c r="B365" s="95" t="s">
        <v>207</v>
      </c>
      <c r="C365" s="96">
        <v>0.1</v>
      </c>
      <c r="D365" s="97">
        <v>4900</v>
      </c>
      <c r="E365" s="98">
        <f t="shared" si="9"/>
        <v>490</v>
      </c>
    </row>
    <row r="366" spans="1:5">
      <c r="A366" s="94" t="s">
        <v>206</v>
      </c>
      <c r="B366" s="95" t="s">
        <v>164</v>
      </c>
      <c r="C366" s="96">
        <v>1</v>
      </c>
      <c r="D366" s="97">
        <v>6690</v>
      </c>
      <c r="E366" s="98">
        <f t="shared" si="9"/>
        <v>6690</v>
      </c>
    </row>
    <row r="367" spans="1:5">
      <c r="A367" s="94" t="s">
        <v>241</v>
      </c>
      <c r="B367" s="95" t="s">
        <v>164</v>
      </c>
      <c r="C367" s="96">
        <v>0.2</v>
      </c>
      <c r="D367" s="97">
        <v>280000</v>
      </c>
      <c r="E367" s="98">
        <f t="shared" si="9"/>
        <v>56000</v>
      </c>
    </row>
    <row r="368" spans="1:5">
      <c r="A368" s="99"/>
      <c r="B368" s="101">
        <f>+E368/D378</f>
        <v>0.85305454545454551</v>
      </c>
      <c r="C368" s="98"/>
      <c r="D368" s="99" t="s">
        <v>209</v>
      </c>
      <c r="E368" s="100">
        <f>SUM(E362:E367)</f>
        <v>469180</v>
      </c>
    </row>
    <row r="369" spans="1:5">
      <c r="A369" s="92" t="s">
        <v>210</v>
      </c>
      <c r="B369" s="93" t="s">
        <v>164</v>
      </c>
      <c r="C369" s="93" t="s">
        <v>2</v>
      </c>
      <c r="D369" s="93" t="s">
        <v>202</v>
      </c>
      <c r="E369" s="93" t="s">
        <v>203</v>
      </c>
    </row>
    <row r="370" spans="1:5">
      <c r="A370" s="94" t="s">
        <v>220</v>
      </c>
      <c r="B370" s="95" t="s">
        <v>212</v>
      </c>
      <c r="C370" s="96">
        <v>0.218143</v>
      </c>
      <c r="D370" s="97">
        <v>228570</v>
      </c>
      <c r="E370" s="98">
        <f>ROUND(C370*D370,0)</f>
        <v>49861</v>
      </c>
    </row>
    <row r="371" spans="1:5">
      <c r="A371" s="99"/>
      <c r="B371" s="101">
        <f>+E371/D378</f>
        <v>9.0656363636363632E-2</v>
      </c>
      <c r="C371" s="98"/>
      <c r="D371" s="99" t="s">
        <v>209</v>
      </c>
      <c r="E371" s="100">
        <f>+E370</f>
        <v>49861</v>
      </c>
    </row>
    <row r="372" spans="1:5">
      <c r="A372" s="92" t="s">
        <v>218</v>
      </c>
      <c r="B372" s="93" t="s">
        <v>164</v>
      </c>
      <c r="C372" s="93" t="s">
        <v>2</v>
      </c>
      <c r="D372" s="93" t="s">
        <v>202</v>
      </c>
      <c r="E372" s="93" t="s">
        <v>203</v>
      </c>
    </row>
    <row r="373" spans="1:5">
      <c r="A373" s="94" t="s">
        <v>213</v>
      </c>
      <c r="B373" s="95" t="s">
        <v>214</v>
      </c>
      <c r="C373" s="96">
        <v>0.05</v>
      </c>
      <c r="D373" s="97">
        <f>+E368</f>
        <v>469180</v>
      </c>
      <c r="E373" s="98">
        <f>ROUND(C373*D373,0)</f>
        <v>23459</v>
      </c>
    </row>
    <row r="374" spans="1:5">
      <c r="A374" s="99"/>
      <c r="B374" s="101">
        <f>+E374/D378</f>
        <v>4.2652727272727273E-2</v>
      </c>
      <c r="C374" s="98"/>
      <c r="D374" s="99" t="s">
        <v>209</v>
      </c>
      <c r="E374" s="100">
        <f>SUM(E373:E373)</f>
        <v>23459</v>
      </c>
    </row>
    <row r="375" spans="1:5">
      <c r="A375" s="92" t="s">
        <v>219</v>
      </c>
      <c r="B375" s="93" t="s">
        <v>164</v>
      </c>
      <c r="C375" s="93" t="s">
        <v>2</v>
      </c>
      <c r="D375" s="93" t="s">
        <v>202</v>
      </c>
      <c r="E375" s="93" t="s">
        <v>203</v>
      </c>
    </row>
    <row r="376" spans="1:5">
      <c r="A376" s="94" t="s">
        <v>217</v>
      </c>
      <c r="B376" s="95" t="s">
        <v>188</v>
      </c>
      <c r="C376" s="96">
        <v>0.1</v>
      </c>
      <c r="D376" s="97">
        <v>75000</v>
      </c>
      <c r="E376" s="98">
        <f>ROUND(C376*D376,0)</f>
        <v>7500</v>
      </c>
    </row>
    <row r="377" spans="1:5">
      <c r="A377" s="99"/>
      <c r="B377" s="101">
        <f>+E377/D378</f>
        <v>1.3636363636363636E-2</v>
      </c>
      <c r="C377" s="98"/>
      <c r="D377" s="99" t="s">
        <v>209</v>
      </c>
      <c r="E377" s="100">
        <f>SUM(E376:E376)</f>
        <v>7500</v>
      </c>
    </row>
    <row r="378" spans="1:5">
      <c r="A378" s="213" t="s">
        <v>215</v>
      </c>
      <c r="B378" s="213"/>
      <c r="C378" s="213"/>
      <c r="D378" s="214">
        <f>+E377+E374+E371+E368</f>
        <v>550000</v>
      </c>
      <c r="E378" s="214"/>
    </row>
    <row r="380" spans="1:5" ht="20.25">
      <c r="A380" s="200" t="s">
        <v>216</v>
      </c>
      <c r="B380" s="201"/>
      <c r="C380" s="201"/>
      <c r="D380" s="201"/>
      <c r="E380" s="202"/>
    </row>
    <row r="381" spans="1:5" ht="19.5" customHeight="1">
      <c r="A381" s="203"/>
      <c r="B381" s="204"/>
      <c r="C381" s="205"/>
      <c r="D381" s="90" t="s">
        <v>199</v>
      </c>
      <c r="E381" s="90" t="s">
        <v>164</v>
      </c>
    </row>
    <row r="382" spans="1:5">
      <c r="A382" s="207"/>
      <c r="B382" s="208"/>
      <c r="C382" s="206"/>
      <c r="D382" s="91" t="s">
        <v>152</v>
      </c>
      <c r="E382" s="91" t="s">
        <v>190</v>
      </c>
    </row>
    <row r="383" spans="1:5" ht="15.75">
      <c r="A383" s="209" t="s">
        <v>200</v>
      </c>
      <c r="B383" s="209"/>
      <c r="C383" s="209"/>
      <c r="D383" s="209"/>
      <c r="E383" s="209"/>
    </row>
    <row r="384" spans="1:5" ht="42.75" customHeight="1">
      <c r="A384" s="210" t="s">
        <v>181</v>
      </c>
      <c r="B384" s="211"/>
      <c r="C384" s="211"/>
      <c r="D384" s="211"/>
      <c r="E384" s="212"/>
    </row>
    <row r="385" spans="1:5">
      <c r="A385" s="92" t="s">
        <v>201</v>
      </c>
      <c r="B385" s="93" t="s">
        <v>164</v>
      </c>
      <c r="C385" s="93" t="s">
        <v>2</v>
      </c>
      <c r="D385" s="93" t="s">
        <v>202</v>
      </c>
      <c r="E385" s="93" t="s">
        <v>203</v>
      </c>
    </row>
    <row r="386" spans="1:5">
      <c r="A386" s="94" t="s">
        <v>244</v>
      </c>
      <c r="B386" s="95" t="s">
        <v>190</v>
      </c>
      <c r="C386" s="96">
        <v>1.05</v>
      </c>
      <c r="D386" s="97">
        <v>5000</v>
      </c>
      <c r="E386" s="98">
        <f>ROUND(C386*D386,0)</f>
        <v>5250</v>
      </c>
    </row>
    <row r="387" spans="1:5">
      <c r="A387" s="94" t="s">
        <v>249</v>
      </c>
      <c r="B387" s="95" t="s">
        <v>190</v>
      </c>
      <c r="C387" s="96">
        <v>0.04</v>
      </c>
      <c r="D387" s="97">
        <v>8290</v>
      </c>
      <c r="E387" s="98">
        <f t="shared" ref="E387" si="10">ROUND(C387*D387,0)</f>
        <v>332</v>
      </c>
    </row>
    <row r="388" spans="1:5">
      <c r="A388" s="99"/>
      <c r="B388" s="101">
        <f>+E388/D398</f>
        <v>0.69774999999999998</v>
      </c>
      <c r="C388" s="98"/>
      <c r="D388" s="99" t="s">
        <v>209</v>
      </c>
      <c r="E388" s="100">
        <f>SUM(E386:E387)</f>
        <v>5582</v>
      </c>
    </row>
    <row r="389" spans="1:5">
      <c r="A389" s="92" t="s">
        <v>210</v>
      </c>
      <c r="B389" s="93" t="s">
        <v>164</v>
      </c>
      <c r="C389" s="93" t="s">
        <v>2</v>
      </c>
      <c r="D389" s="93" t="s">
        <v>202</v>
      </c>
      <c r="E389" s="93" t="s">
        <v>203</v>
      </c>
    </row>
    <row r="390" spans="1:5">
      <c r="A390" s="94" t="s">
        <v>250</v>
      </c>
      <c r="B390" s="95" t="s">
        <v>212</v>
      </c>
      <c r="C390" s="96">
        <v>1.0272999999999999E-2</v>
      </c>
      <c r="D390" s="97">
        <v>171670</v>
      </c>
      <c r="E390" s="98">
        <f>ROUND(C390*D390,0)</f>
        <v>1764</v>
      </c>
    </row>
    <row r="391" spans="1:5">
      <c r="A391" s="99"/>
      <c r="B391" s="101">
        <f>+E391/D398</f>
        <v>0.2205</v>
      </c>
      <c r="C391" s="98"/>
      <c r="D391" s="99" t="s">
        <v>209</v>
      </c>
      <c r="E391" s="100">
        <f>+E390</f>
        <v>1764</v>
      </c>
    </row>
    <row r="392" spans="1:5">
      <c r="A392" s="92" t="s">
        <v>218</v>
      </c>
      <c r="B392" s="93" t="s">
        <v>164</v>
      </c>
      <c r="C392" s="93" t="s">
        <v>2</v>
      </c>
      <c r="D392" s="93" t="s">
        <v>202</v>
      </c>
      <c r="E392" s="93" t="s">
        <v>203</v>
      </c>
    </row>
    <row r="393" spans="1:5">
      <c r="A393" s="94" t="s">
        <v>213</v>
      </c>
      <c r="B393" s="95" t="s">
        <v>214</v>
      </c>
      <c r="C393" s="96">
        <v>0.05</v>
      </c>
      <c r="D393" s="97">
        <f>+E388</f>
        <v>5582</v>
      </c>
      <c r="E393" s="98">
        <f>ROUND(C393*D393,0)</f>
        <v>279</v>
      </c>
    </row>
    <row r="394" spans="1:5">
      <c r="A394" s="99"/>
      <c r="B394" s="101">
        <f>+E394/D398</f>
        <v>3.4875000000000003E-2</v>
      </c>
      <c r="C394" s="98"/>
      <c r="D394" s="99" t="s">
        <v>209</v>
      </c>
      <c r="E394" s="100">
        <f>SUM(E393:E393)</f>
        <v>279</v>
      </c>
    </row>
    <row r="395" spans="1:5">
      <c r="A395" s="92" t="s">
        <v>219</v>
      </c>
      <c r="B395" s="93" t="s">
        <v>164</v>
      </c>
      <c r="C395" s="93" t="s">
        <v>2</v>
      </c>
      <c r="D395" s="93" t="s">
        <v>202</v>
      </c>
      <c r="E395" s="93" t="s">
        <v>203</v>
      </c>
    </row>
    <row r="396" spans="1:5">
      <c r="A396" s="94" t="s">
        <v>251</v>
      </c>
      <c r="B396" s="95" t="s">
        <v>190</v>
      </c>
      <c r="C396" s="96">
        <v>5.0000000000000001E-3</v>
      </c>
      <c r="D396" s="97">
        <v>75000</v>
      </c>
      <c r="E396" s="98">
        <f>ROUND(C396*D396,0)</f>
        <v>375</v>
      </c>
    </row>
    <row r="397" spans="1:5">
      <c r="A397" s="99"/>
      <c r="B397" s="101">
        <f>+E397/D398</f>
        <v>4.6875E-2</v>
      </c>
      <c r="C397" s="98"/>
      <c r="D397" s="99" t="s">
        <v>209</v>
      </c>
      <c r="E397" s="100">
        <f>SUM(E396:E396)</f>
        <v>375</v>
      </c>
    </row>
    <row r="398" spans="1:5">
      <c r="A398" s="213" t="s">
        <v>215</v>
      </c>
      <c r="B398" s="213"/>
      <c r="C398" s="213"/>
      <c r="D398" s="214">
        <f>+E397+E394+E391+E388</f>
        <v>8000</v>
      </c>
      <c r="E398" s="214"/>
    </row>
    <row r="400" spans="1:5" ht="20.25">
      <c r="A400" s="200" t="s">
        <v>216</v>
      </c>
      <c r="B400" s="201"/>
      <c r="C400" s="201"/>
      <c r="D400" s="201"/>
      <c r="E400" s="202"/>
    </row>
    <row r="401" spans="1:5">
      <c r="A401" s="203"/>
      <c r="B401" s="204"/>
      <c r="C401" s="205"/>
      <c r="D401" s="90" t="s">
        <v>199</v>
      </c>
      <c r="E401" s="90" t="s">
        <v>164</v>
      </c>
    </row>
    <row r="402" spans="1:5">
      <c r="A402" s="207"/>
      <c r="B402" s="208"/>
      <c r="C402" s="206"/>
      <c r="D402" s="91" t="s">
        <v>151</v>
      </c>
      <c r="E402" s="91" t="s">
        <v>186</v>
      </c>
    </row>
    <row r="403" spans="1:5" ht="15.75">
      <c r="A403" s="209" t="s">
        <v>200</v>
      </c>
      <c r="B403" s="209"/>
      <c r="C403" s="209"/>
      <c r="D403" s="209"/>
      <c r="E403" s="209"/>
    </row>
    <row r="404" spans="1:5" ht="30.75" customHeight="1">
      <c r="A404" s="210" t="s">
        <v>182</v>
      </c>
      <c r="B404" s="211"/>
      <c r="C404" s="211"/>
      <c r="D404" s="211"/>
      <c r="E404" s="212"/>
    </row>
    <row r="405" spans="1:5">
      <c r="A405" s="92" t="s">
        <v>201</v>
      </c>
      <c r="B405" s="93" t="s">
        <v>164</v>
      </c>
      <c r="C405" s="93" t="s">
        <v>2</v>
      </c>
      <c r="D405" s="93" t="s">
        <v>202</v>
      </c>
      <c r="E405" s="93" t="s">
        <v>203</v>
      </c>
    </row>
    <row r="406" spans="1:5">
      <c r="A406" s="94" t="s">
        <v>252</v>
      </c>
      <c r="B406" s="95" t="s">
        <v>186</v>
      </c>
      <c r="C406" s="96">
        <v>1.2</v>
      </c>
      <c r="D406" s="97">
        <v>20000</v>
      </c>
      <c r="E406" s="98">
        <f>ROUND(C406*D406,0)</f>
        <v>24000</v>
      </c>
    </row>
    <row r="407" spans="1:5">
      <c r="A407" s="94" t="s">
        <v>249</v>
      </c>
      <c r="B407" s="95" t="s">
        <v>190</v>
      </c>
      <c r="C407" s="96">
        <v>0.03</v>
      </c>
      <c r="D407" s="97">
        <v>8290</v>
      </c>
      <c r="E407" s="98">
        <f t="shared" ref="E407" si="11">ROUND(C407*D407,0)</f>
        <v>249</v>
      </c>
    </row>
    <row r="408" spans="1:5">
      <c r="A408" s="99"/>
      <c r="B408" s="101">
        <f>+E408/D418</f>
        <v>0.88178181818181822</v>
      </c>
      <c r="C408" s="98"/>
      <c r="D408" s="99" t="s">
        <v>209</v>
      </c>
      <c r="E408" s="100">
        <f>SUM(E406:E407)</f>
        <v>24249</v>
      </c>
    </row>
    <row r="409" spans="1:5">
      <c r="A409" s="92" t="s">
        <v>210</v>
      </c>
      <c r="B409" s="93" t="s">
        <v>164</v>
      </c>
      <c r="C409" s="93" t="s">
        <v>2</v>
      </c>
      <c r="D409" s="93" t="s">
        <v>202</v>
      </c>
      <c r="E409" s="93" t="s">
        <v>203</v>
      </c>
    </row>
    <row r="410" spans="1:5">
      <c r="A410" s="94" t="s">
        <v>250</v>
      </c>
      <c r="B410" s="95" t="s">
        <v>212</v>
      </c>
      <c r="C410" s="96">
        <v>1.013E-2</v>
      </c>
      <c r="D410" s="97">
        <v>171670</v>
      </c>
      <c r="E410" s="98">
        <f>ROUND(C410*D410,0)</f>
        <v>1739</v>
      </c>
    </row>
    <row r="411" spans="1:5">
      <c r="A411" s="99"/>
      <c r="B411" s="101">
        <f>+E411/D418</f>
        <v>6.3236363636363632E-2</v>
      </c>
      <c r="C411" s="98"/>
      <c r="D411" s="99" t="s">
        <v>209</v>
      </c>
      <c r="E411" s="100">
        <f>+E410</f>
        <v>1739</v>
      </c>
    </row>
    <row r="412" spans="1:5">
      <c r="A412" s="92" t="s">
        <v>218</v>
      </c>
      <c r="B412" s="93" t="s">
        <v>164</v>
      </c>
      <c r="C412" s="93" t="s">
        <v>2</v>
      </c>
      <c r="D412" s="93" t="s">
        <v>202</v>
      </c>
      <c r="E412" s="93" t="s">
        <v>203</v>
      </c>
    </row>
    <row r="413" spans="1:5">
      <c r="A413" s="94" t="s">
        <v>213</v>
      </c>
      <c r="B413" s="95" t="s">
        <v>214</v>
      </c>
      <c r="C413" s="96">
        <v>0.05</v>
      </c>
      <c r="D413" s="97">
        <f>+E408</f>
        <v>24249</v>
      </c>
      <c r="E413" s="98">
        <f>ROUND(C413*D413,0)</f>
        <v>1212</v>
      </c>
    </row>
    <row r="414" spans="1:5">
      <c r="A414" s="99"/>
      <c r="B414" s="101">
        <f>+E414/D418</f>
        <v>4.407272727272727E-2</v>
      </c>
      <c r="C414" s="98"/>
      <c r="D414" s="99" t="s">
        <v>209</v>
      </c>
      <c r="E414" s="100">
        <f>SUM(E413:E413)</f>
        <v>1212</v>
      </c>
    </row>
    <row r="415" spans="1:5">
      <c r="A415" s="92" t="s">
        <v>219</v>
      </c>
      <c r="B415" s="93" t="s">
        <v>164</v>
      </c>
      <c r="C415" s="93" t="s">
        <v>2</v>
      </c>
      <c r="D415" s="93" t="s">
        <v>202</v>
      </c>
      <c r="E415" s="93" t="s">
        <v>203</v>
      </c>
    </row>
    <row r="416" spans="1:5">
      <c r="A416" s="94" t="s">
        <v>251</v>
      </c>
      <c r="B416" s="95" t="s">
        <v>190</v>
      </c>
      <c r="C416" s="96">
        <v>4.0000000000000001E-3</v>
      </c>
      <c r="D416" s="97">
        <v>75000</v>
      </c>
      <c r="E416" s="98">
        <f>ROUND(C416*D416,0)</f>
        <v>300</v>
      </c>
    </row>
    <row r="417" spans="1:5">
      <c r="A417" s="99"/>
      <c r="B417" s="101">
        <f>+E417/D418</f>
        <v>1.090909090909091E-2</v>
      </c>
      <c r="C417" s="98"/>
      <c r="D417" s="99" t="s">
        <v>209</v>
      </c>
      <c r="E417" s="100">
        <f>SUM(E416:E416)</f>
        <v>300</v>
      </c>
    </row>
    <row r="418" spans="1:5">
      <c r="A418" s="213" t="s">
        <v>215</v>
      </c>
      <c r="B418" s="213"/>
      <c r="C418" s="213"/>
      <c r="D418" s="214">
        <f>+E417+E414+E411+E408</f>
        <v>27500</v>
      </c>
      <c r="E418" s="214"/>
    </row>
    <row r="420" spans="1:5" ht="20.25">
      <c r="A420" s="200" t="s">
        <v>216</v>
      </c>
      <c r="B420" s="201"/>
      <c r="C420" s="201"/>
      <c r="D420" s="201"/>
      <c r="E420" s="202"/>
    </row>
    <row r="421" spans="1:5">
      <c r="A421" s="203"/>
      <c r="B421" s="204"/>
      <c r="C421" s="205"/>
      <c r="D421" s="90" t="s">
        <v>199</v>
      </c>
      <c r="E421" s="90" t="s">
        <v>164</v>
      </c>
    </row>
    <row r="422" spans="1:5">
      <c r="A422" s="207"/>
      <c r="B422" s="208"/>
      <c r="C422" s="206"/>
      <c r="D422" s="91" t="s">
        <v>150</v>
      </c>
      <c r="E422" s="91" t="s">
        <v>186</v>
      </c>
    </row>
    <row r="423" spans="1:5" ht="15.75">
      <c r="A423" s="209" t="s">
        <v>200</v>
      </c>
      <c r="B423" s="209"/>
      <c r="C423" s="209"/>
      <c r="D423" s="209"/>
      <c r="E423" s="209"/>
    </row>
    <row r="424" spans="1:5" ht="44.25" customHeight="1">
      <c r="A424" s="210" t="s">
        <v>281</v>
      </c>
      <c r="B424" s="211"/>
      <c r="C424" s="211"/>
      <c r="D424" s="211"/>
      <c r="E424" s="212"/>
    </row>
    <row r="425" spans="1:5">
      <c r="A425" s="92" t="s">
        <v>201</v>
      </c>
      <c r="B425" s="93" t="s">
        <v>164</v>
      </c>
      <c r="C425" s="93" t="s">
        <v>2</v>
      </c>
      <c r="D425" s="93" t="s">
        <v>202</v>
      </c>
      <c r="E425" s="93" t="s">
        <v>203</v>
      </c>
    </row>
    <row r="426" spans="1:5" ht="25.5">
      <c r="A426" s="173" t="s">
        <v>363</v>
      </c>
      <c r="B426" s="95" t="s">
        <v>186</v>
      </c>
      <c r="C426" s="96">
        <v>13</v>
      </c>
      <c r="D426" s="97">
        <v>4365</v>
      </c>
      <c r="E426" s="98">
        <f>ROUND(C426*D426,0)</f>
        <v>56745</v>
      </c>
    </row>
    <row r="427" spans="1:5">
      <c r="A427" s="94" t="s">
        <v>236</v>
      </c>
      <c r="B427" s="95" t="s">
        <v>238</v>
      </c>
      <c r="C427" s="96">
        <v>0.1</v>
      </c>
      <c r="D427" s="97">
        <v>29000</v>
      </c>
      <c r="E427" s="98">
        <f t="shared" ref="E427:E428" si="12">ROUND(C427*D427,0)</f>
        <v>2900</v>
      </c>
    </row>
    <row r="428" spans="1:5">
      <c r="A428" s="94" t="s">
        <v>253</v>
      </c>
      <c r="B428" s="95" t="s">
        <v>188</v>
      </c>
      <c r="C428" s="96">
        <v>1.6E-2</v>
      </c>
      <c r="D428" s="97">
        <v>140000</v>
      </c>
      <c r="E428" s="98">
        <f t="shared" si="12"/>
        <v>2240</v>
      </c>
    </row>
    <row r="429" spans="1:5">
      <c r="A429" s="99"/>
      <c r="B429" s="101">
        <f>+E429/D439</f>
        <v>0.72805882352941176</v>
      </c>
      <c r="C429" s="98"/>
      <c r="D429" s="99" t="s">
        <v>209</v>
      </c>
      <c r="E429" s="100">
        <f>SUM(E426:E428)</f>
        <v>61885</v>
      </c>
    </row>
    <row r="430" spans="1:5">
      <c r="A430" s="92" t="s">
        <v>210</v>
      </c>
      <c r="B430" s="93" t="s">
        <v>164</v>
      </c>
      <c r="C430" s="93" t="s">
        <v>2</v>
      </c>
      <c r="D430" s="93" t="s">
        <v>202</v>
      </c>
      <c r="E430" s="93" t="s">
        <v>203</v>
      </c>
    </row>
    <row r="431" spans="1:5">
      <c r="A431" s="94" t="s">
        <v>254</v>
      </c>
      <c r="B431" s="95" t="s">
        <v>212</v>
      </c>
      <c r="C431" s="96">
        <v>0.10789</v>
      </c>
      <c r="D431" s="97">
        <v>171670</v>
      </c>
      <c r="E431" s="98">
        <f>ROUND(C431*D431,0)</f>
        <v>18521</v>
      </c>
    </row>
    <row r="432" spans="1:5">
      <c r="A432" s="99"/>
      <c r="B432" s="101">
        <f>+E432/D439</f>
        <v>0.21789411764705882</v>
      </c>
      <c r="C432" s="98"/>
      <c r="D432" s="99" t="s">
        <v>209</v>
      </c>
      <c r="E432" s="100">
        <f>+E431</f>
        <v>18521</v>
      </c>
    </row>
    <row r="433" spans="1:5">
      <c r="A433" s="92" t="s">
        <v>218</v>
      </c>
      <c r="B433" s="93" t="s">
        <v>164</v>
      </c>
      <c r="C433" s="93" t="s">
        <v>2</v>
      </c>
      <c r="D433" s="93" t="s">
        <v>202</v>
      </c>
      <c r="E433" s="93" t="s">
        <v>203</v>
      </c>
    </row>
    <row r="434" spans="1:5">
      <c r="A434" s="94" t="s">
        <v>213</v>
      </c>
      <c r="B434" s="95" t="s">
        <v>214</v>
      </c>
      <c r="C434" s="96">
        <v>0.05</v>
      </c>
      <c r="D434" s="97">
        <f>+E429</f>
        <v>61885</v>
      </c>
      <c r="E434" s="98">
        <f>ROUND(C434*D434,0)</f>
        <v>3094</v>
      </c>
    </row>
    <row r="435" spans="1:5">
      <c r="A435" s="99"/>
      <c r="B435" s="101">
        <f>+E435/D439</f>
        <v>3.6400000000000002E-2</v>
      </c>
      <c r="C435" s="98"/>
      <c r="D435" s="99" t="s">
        <v>209</v>
      </c>
      <c r="E435" s="100">
        <f>SUM(E434:E434)</f>
        <v>3094</v>
      </c>
    </row>
    <row r="436" spans="1:5">
      <c r="A436" s="92" t="s">
        <v>219</v>
      </c>
      <c r="B436" s="93" t="s">
        <v>164</v>
      </c>
      <c r="C436" s="93" t="s">
        <v>2</v>
      </c>
      <c r="D436" s="93" t="s">
        <v>202</v>
      </c>
      <c r="E436" s="93" t="s">
        <v>203</v>
      </c>
    </row>
    <row r="437" spans="1:5">
      <c r="A437" s="94" t="s">
        <v>217</v>
      </c>
      <c r="B437" s="95" t="s">
        <v>190</v>
      </c>
      <c r="C437" s="96">
        <v>0.02</v>
      </c>
      <c r="D437" s="97">
        <v>75000</v>
      </c>
      <c r="E437" s="98">
        <f>ROUND(C437*D437,0)</f>
        <v>1500</v>
      </c>
    </row>
    <row r="438" spans="1:5">
      <c r="A438" s="99"/>
      <c r="B438" s="101">
        <f>+E438/D439</f>
        <v>1.7647058823529412E-2</v>
      </c>
      <c r="C438" s="98"/>
      <c r="D438" s="99" t="s">
        <v>209</v>
      </c>
      <c r="E438" s="100">
        <f>SUM(E437:E437)</f>
        <v>1500</v>
      </c>
    </row>
    <row r="439" spans="1:5">
      <c r="A439" s="213" t="s">
        <v>215</v>
      </c>
      <c r="B439" s="213"/>
      <c r="C439" s="213"/>
      <c r="D439" s="214">
        <f>+E438+E435+E432+E429</f>
        <v>85000</v>
      </c>
      <c r="E439" s="214"/>
    </row>
    <row r="441" spans="1:5" ht="20.25">
      <c r="A441" s="200" t="s">
        <v>216</v>
      </c>
      <c r="B441" s="201"/>
      <c r="C441" s="201"/>
      <c r="D441" s="201"/>
      <c r="E441" s="202"/>
    </row>
    <row r="442" spans="1:5">
      <c r="A442" s="203"/>
      <c r="B442" s="204"/>
      <c r="C442" s="205"/>
      <c r="D442" s="90" t="s">
        <v>199</v>
      </c>
      <c r="E442" s="90" t="s">
        <v>164</v>
      </c>
    </row>
    <row r="443" spans="1:5">
      <c r="A443" s="207"/>
      <c r="B443" s="208"/>
      <c r="C443" s="206"/>
      <c r="D443" s="91" t="s">
        <v>149</v>
      </c>
      <c r="E443" s="91" t="s">
        <v>186</v>
      </c>
    </row>
    <row r="444" spans="1:5" ht="15.75">
      <c r="A444" s="209" t="s">
        <v>200</v>
      </c>
      <c r="B444" s="209"/>
      <c r="C444" s="209"/>
      <c r="D444" s="209"/>
      <c r="E444" s="209"/>
    </row>
    <row r="445" spans="1:5" ht="45" customHeight="1">
      <c r="A445" s="210" t="s">
        <v>282</v>
      </c>
      <c r="B445" s="211"/>
      <c r="C445" s="211"/>
      <c r="D445" s="211"/>
      <c r="E445" s="212"/>
    </row>
    <row r="446" spans="1:5">
      <c r="A446" s="92" t="s">
        <v>201</v>
      </c>
      <c r="B446" s="93" t="s">
        <v>164</v>
      </c>
      <c r="C446" s="93" t="s">
        <v>2</v>
      </c>
      <c r="D446" s="93" t="s">
        <v>202</v>
      </c>
      <c r="E446" s="93" t="s">
        <v>203</v>
      </c>
    </row>
    <row r="447" spans="1:5" ht="25.5">
      <c r="A447" s="173" t="s">
        <v>364</v>
      </c>
      <c r="B447" s="95" t="s">
        <v>186</v>
      </c>
      <c r="C447" s="96">
        <v>13</v>
      </c>
      <c r="D447" s="97">
        <v>4700</v>
      </c>
      <c r="E447" s="98">
        <f>ROUND(C447*D447,0)</f>
        <v>61100</v>
      </c>
    </row>
    <row r="448" spans="1:5">
      <c r="A448" s="94" t="s">
        <v>236</v>
      </c>
      <c r="B448" s="95" t="s">
        <v>238</v>
      </c>
      <c r="C448" s="96">
        <v>0.1</v>
      </c>
      <c r="D448" s="97">
        <v>29000</v>
      </c>
      <c r="E448" s="98">
        <f t="shared" ref="E448:E449" si="13">ROUND(C448*D448,0)</f>
        <v>2900</v>
      </c>
    </row>
    <row r="449" spans="1:5">
      <c r="A449" s="94" t="s">
        <v>253</v>
      </c>
      <c r="B449" s="95" t="s">
        <v>188</v>
      </c>
      <c r="C449" s="96">
        <v>1.6E-2</v>
      </c>
      <c r="D449" s="97">
        <v>140000</v>
      </c>
      <c r="E449" s="98">
        <f t="shared" si="13"/>
        <v>2240</v>
      </c>
    </row>
    <row r="450" spans="1:5">
      <c r="A450" s="99"/>
      <c r="B450" s="101">
        <f>+E450/D460</f>
        <v>0.73599999999999999</v>
      </c>
      <c r="C450" s="98"/>
      <c r="D450" s="99" t="s">
        <v>209</v>
      </c>
      <c r="E450" s="100">
        <f>SUM(E447:E449)</f>
        <v>66240</v>
      </c>
    </row>
    <row r="451" spans="1:5">
      <c r="A451" s="92" t="s">
        <v>210</v>
      </c>
      <c r="B451" s="93" t="s">
        <v>164</v>
      </c>
      <c r="C451" s="93" t="s">
        <v>2</v>
      </c>
      <c r="D451" s="93" t="s">
        <v>202</v>
      </c>
      <c r="E451" s="93" t="s">
        <v>203</v>
      </c>
    </row>
    <row r="452" spans="1:5">
      <c r="A452" s="94" t="s">
        <v>254</v>
      </c>
      <c r="B452" s="95" t="s">
        <v>212</v>
      </c>
      <c r="C452" s="96">
        <v>0.110375</v>
      </c>
      <c r="D452" s="97">
        <v>171670</v>
      </c>
      <c r="E452" s="98">
        <f>ROUND(C452*D452,0)</f>
        <v>18948</v>
      </c>
    </row>
    <row r="453" spans="1:5">
      <c r="A453" s="99"/>
      <c r="B453" s="101">
        <f>+E453/D460</f>
        <v>0.21053333333333332</v>
      </c>
      <c r="C453" s="98"/>
      <c r="D453" s="99" t="s">
        <v>209</v>
      </c>
      <c r="E453" s="100">
        <f>+E452</f>
        <v>18948</v>
      </c>
    </row>
    <row r="454" spans="1:5">
      <c r="A454" s="92" t="s">
        <v>218</v>
      </c>
      <c r="B454" s="93" t="s">
        <v>164</v>
      </c>
      <c r="C454" s="93" t="s">
        <v>2</v>
      </c>
      <c r="D454" s="93" t="s">
        <v>202</v>
      </c>
      <c r="E454" s="93" t="s">
        <v>203</v>
      </c>
    </row>
    <row r="455" spans="1:5">
      <c r="A455" s="94" t="s">
        <v>213</v>
      </c>
      <c r="B455" s="95" t="s">
        <v>214</v>
      </c>
      <c r="C455" s="96">
        <v>0.05</v>
      </c>
      <c r="D455" s="97">
        <f>+E450</f>
        <v>66240</v>
      </c>
      <c r="E455" s="98">
        <f>ROUND(C455*D455,0)</f>
        <v>3312</v>
      </c>
    </row>
    <row r="456" spans="1:5">
      <c r="A456" s="99"/>
      <c r="B456" s="101">
        <f>+E456/D460</f>
        <v>3.6799999999999999E-2</v>
      </c>
      <c r="C456" s="98"/>
      <c r="D456" s="99" t="s">
        <v>209</v>
      </c>
      <c r="E456" s="100">
        <f>SUM(E455:E455)</f>
        <v>3312</v>
      </c>
    </row>
    <row r="457" spans="1:5">
      <c r="A457" s="92" t="s">
        <v>219</v>
      </c>
      <c r="B457" s="93" t="s">
        <v>164</v>
      </c>
      <c r="C457" s="93" t="s">
        <v>2</v>
      </c>
      <c r="D457" s="93" t="s">
        <v>202</v>
      </c>
      <c r="E457" s="93" t="s">
        <v>203</v>
      </c>
    </row>
    <row r="458" spans="1:5">
      <c r="A458" s="94" t="s">
        <v>217</v>
      </c>
      <c r="B458" s="95" t="s">
        <v>190</v>
      </c>
      <c r="C458" s="96">
        <v>0.02</v>
      </c>
      <c r="D458" s="97">
        <v>75000</v>
      </c>
      <c r="E458" s="98">
        <f>ROUND(C458*D458,0)</f>
        <v>1500</v>
      </c>
    </row>
    <row r="459" spans="1:5">
      <c r="A459" s="99"/>
      <c r="B459" s="101">
        <f>+E459/D460</f>
        <v>1.6666666666666666E-2</v>
      </c>
      <c r="C459" s="98"/>
      <c r="D459" s="99" t="s">
        <v>209</v>
      </c>
      <c r="E459" s="100">
        <f>SUM(E458:E458)</f>
        <v>1500</v>
      </c>
    </row>
    <row r="460" spans="1:5">
      <c r="A460" s="213" t="s">
        <v>215</v>
      </c>
      <c r="B460" s="213"/>
      <c r="C460" s="213"/>
      <c r="D460" s="214">
        <f>+E459+E456+E453+E450</f>
        <v>90000</v>
      </c>
      <c r="E460" s="214"/>
    </row>
    <row r="461" spans="1:5">
      <c r="A461" s="110"/>
      <c r="B461" s="111"/>
      <c r="C461" s="111"/>
      <c r="D461" s="112"/>
      <c r="E461" s="113"/>
    </row>
    <row r="462" spans="1:5" ht="20.25">
      <c r="A462" s="200" t="s">
        <v>216</v>
      </c>
      <c r="B462" s="201"/>
      <c r="C462" s="201"/>
      <c r="D462" s="201"/>
      <c r="E462" s="202"/>
    </row>
    <row r="463" spans="1:5" ht="19.5" customHeight="1">
      <c r="A463" s="203"/>
      <c r="B463" s="204"/>
      <c r="C463" s="205"/>
      <c r="D463" s="90" t="s">
        <v>199</v>
      </c>
      <c r="E463" s="90" t="s">
        <v>164</v>
      </c>
    </row>
    <row r="464" spans="1:5">
      <c r="A464" s="207"/>
      <c r="B464" s="208"/>
      <c r="C464" s="206"/>
      <c r="D464" s="91" t="s">
        <v>148</v>
      </c>
      <c r="E464" s="91" t="s">
        <v>189</v>
      </c>
    </row>
    <row r="465" spans="1:5" ht="15.75">
      <c r="A465" s="209" t="s">
        <v>200</v>
      </c>
      <c r="B465" s="209"/>
      <c r="C465" s="209"/>
      <c r="D465" s="209"/>
      <c r="E465" s="209"/>
    </row>
    <row r="466" spans="1:5" ht="73.5" customHeight="1">
      <c r="A466" s="210" t="s">
        <v>197</v>
      </c>
      <c r="B466" s="211"/>
      <c r="C466" s="211"/>
      <c r="D466" s="211"/>
      <c r="E466" s="212"/>
    </row>
    <row r="467" spans="1:5">
      <c r="A467" s="92" t="s">
        <v>201</v>
      </c>
      <c r="B467" s="109" t="s">
        <v>164</v>
      </c>
      <c r="C467" s="109" t="s">
        <v>2</v>
      </c>
      <c r="D467" s="109" t="s">
        <v>202</v>
      </c>
      <c r="E467" s="109" t="s">
        <v>203</v>
      </c>
    </row>
    <row r="468" spans="1:5">
      <c r="A468" s="94" t="s">
        <v>255</v>
      </c>
      <c r="B468" s="95" t="s">
        <v>184</v>
      </c>
      <c r="C468" s="96">
        <v>0.28000000000000003</v>
      </c>
      <c r="D468" s="97">
        <v>26562</v>
      </c>
      <c r="E468" s="98">
        <f>ROUND(C468*D468,0)</f>
        <v>7437</v>
      </c>
    </row>
    <row r="469" spans="1:5">
      <c r="A469" s="94" t="s">
        <v>256</v>
      </c>
      <c r="B469" s="95" t="s">
        <v>184</v>
      </c>
      <c r="C469" s="96">
        <v>1</v>
      </c>
      <c r="D469" s="97">
        <v>562</v>
      </c>
      <c r="E469" s="98">
        <f t="shared" ref="E469" si="14">ROUND(C469*D469,0)</f>
        <v>562</v>
      </c>
    </row>
    <row r="470" spans="1:5">
      <c r="A470" s="99"/>
      <c r="B470" s="101">
        <f>+E470/D480</f>
        <v>0.79990000000000006</v>
      </c>
      <c r="C470" s="98"/>
      <c r="D470" s="99" t="s">
        <v>209</v>
      </c>
      <c r="E470" s="100">
        <f>SUM(E468:E469)</f>
        <v>7999</v>
      </c>
    </row>
    <row r="471" spans="1:5">
      <c r="A471" s="92" t="s">
        <v>210</v>
      </c>
      <c r="B471" s="109" t="s">
        <v>164</v>
      </c>
      <c r="C471" s="109" t="s">
        <v>2</v>
      </c>
      <c r="D471" s="109" t="s">
        <v>202</v>
      </c>
      <c r="E471" s="109" t="s">
        <v>203</v>
      </c>
    </row>
    <row r="472" spans="1:5">
      <c r="A472" s="94" t="s">
        <v>250</v>
      </c>
      <c r="B472" s="95" t="s">
        <v>212</v>
      </c>
      <c r="C472" s="96">
        <v>7.5799999999999999E-3</v>
      </c>
      <c r="D472" s="97">
        <v>171670</v>
      </c>
      <c r="E472" s="98">
        <f>ROUND(C472*D472,0)</f>
        <v>1301</v>
      </c>
    </row>
    <row r="473" spans="1:5">
      <c r="A473" s="99"/>
      <c r="B473" s="101">
        <f>+E473/D480</f>
        <v>0.13009999999999999</v>
      </c>
      <c r="C473" s="98"/>
      <c r="D473" s="99" t="s">
        <v>209</v>
      </c>
      <c r="E473" s="100">
        <f>+E472</f>
        <v>1301</v>
      </c>
    </row>
    <row r="474" spans="1:5">
      <c r="A474" s="92" t="s">
        <v>218</v>
      </c>
      <c r="B474" s="109" t="s">
        <v>164</v>
      </c>
      <c r="C474" s="109" t="s">
        <v>2</v>
      </c>
      <c r="D474" s="109" t="s">
        <v>202</v>
      </c>
      <c r="E474" s="109" t="s">
        <v>203</v>
      </c>
    </row>
    <row r="475" spans="1:5">
      <c r="A475" s="94" t="s">
        <v>213</v>
      </c>
      <c r="B475" s="95" t="s">
        <v>214</v>
      </c>
      <c r="C475" s="96">
        <v>0.05</v>
      </c>
      <c r="D475" s="97">
        <f>+E470</f>
        <v>7999</v>
      </c>
      <c r="E475" s="98">
        <f>ROUND(C475*D475,0)</f>
        <v>400</v>
      </c>
    </row>
    <row r="476" spans="1:5">
      <c r="A476" s="99"/>
      <c r="B476" s="101">
        <f>+E476/D480</f>
        <v>0.04</v>
      </c>
      <c r="C476" s="98"/>
      <c r="D476" s="99" t="s">
        <v>209</v>
      </c>
      <c r="E476" s="100">
        <f>SUM(E475:E475)</f>
        <v>400</v>
      </c>
    </row>
    <row r="477" spans="1:5">
      <c r="A477" s="92" t="s">
        <v>219</v>
      </c>
      <c r="B477" s="109" t="s">
        <v>164</v>
      </c>
      <c r="C477" s="109" t="s">
        <v>2</v>
      </c>
      <c r="D477" s="109" t="s">
        <v>202</v>
      </c>
      <c r="E477" s="109" t="s">
        <v>203</v>
      </c>
    </row>
    <row r="478" spans="1:5">
      <c r="A478" s="94" t="s">
        <v>217</v>
      </c>
      <c r="B478" s="95" t="s">
        <v>190</v>
      </c>
      <c r="C478" s="96">
        <v>4.0000000000000001E-3</v>
      </c>
      <c r="D478" s="97">
        <v>75000</v>
      </c>
      <c r="E478" s="98">
        <f>ROUND(C478*D478,0)</f>
        <v>300</v>
      </c>
    </row>
    <row r="479" spans="1:5">
      <c r="A479" s="99"/>
      <c r="B479" s="101">
        <f>+E479/D480</f>
        <v>0.03</v>
      </c>
      <c r="C479" s="98"/>
      <c r="D479" s="99" t="s">
        <v>209</v>
      </c>
      <c r="E479" s="100">
        <f>SUM(E478:E478)</f>
        <v>300</v>
      </c>
    </row>
    <row r="480" spans="1:5">
      <c r="A480" s="222" t="s">
        <v>215</v>
      </c>
      <c r="B480" s="223"/>
      <c r="C480" s="224"/>
      <c r="D480" s="225">
        <f>+E479+E476+E473+E470</f>
        <v>10000</v>
      </c>
      <c r="E480" s="226"/>
    </row>
    <row r="482" spans="1:5" ht="20.25">
      <c r="A482" s="200" t="s">
        <v>216</v>
      </c>
      <c r="B482" s="201"/>
      <c r="C482" s="201"/>
      <c r="D482" s="201"/>
      <c r="E482" s="202"/>
    </row>
    <row r="483" spans="1:5">
      <c r="A483" s="203"/>
      <c r="B483" s="204"/>
      <c r="C483" s="205"/>
      <c r="D483" s="90" t="s">
        <v>199</v>
      </c>
      <c r="E483" s="90" t="s">
        <v>164</v>
      </c>
    </row>
    <row r="484" spans="1:5" ht="30" customHeight="1">
      <c r="A484" s="207"/>
      <c r="B484" s="208"/>
      <c r="C484" s="206"/>
      <c r="D484" s="91" t="s">
        <v>147</v>
      </c>
      <c r="E484" s="91" t="s">
        <v>189</v>
      </c>
    </row>
    <row r="485" spans="1:5" ht="15.75">
      <c r="A485" s="209" t="s">
        <v>200</v>
      </c>
      <c r="B485" s="209"/>
      <c r="C485" s="209"/>
      <c r="D485" s="209"/>
      <c r="E485" s="209"/>
    </row>
    <row r="486" spans="1:5">
      <c r="A486" s="215" t="s">
        <v>221</v>
      </c>
      <c r="B486" s="216"/>
      <c r="C486" s="216"/>
      <c r="D486" s="216"/>
      <c r="E486" s="217"/>
    </row>
    <row r="487" spans="1:5">
      <c r="A487" s="92" t="s">
        <v>201</v>
      </c>
      <c r="B487" s="93" t="s">
        <v>164</v>
      </c>
      <c r="C487" s="93" t="s">
        <v>2</v>
      </c>
      <c r="D487" s="93" t="s">
        <v>202</v>
      </c>
      <c r="E487" s="93" t="s">
        <v>203</v>
      </c>
    </row>
    <row r="488" spans="1:5">
      <c r="A488" s="94" t="s">
        <v>257</v>
      </c>
      <c r="B488" s="95" t="s">
        <v>189</v>
      </c>
      <c r="C488" s="96">
        <v>2</v>
      </c>
      <c r="D488" s="97">
        <v>7500</v>
      </c>
      <c r="E488" s="98">
        <f>ROUND(C488*D488,0)</f>
        <v>15000</v>
      </c>
    </row>
    <row r="489" spans="1:5">
      <c r="A489" s="94" t="s">
        <v>236</v>
      </c>
      <c r="B489" s="95" t="s">
        <v>238</v>
      </c>
      <c r="C489" s="96">
        <v>0.1</v>
      </c>
      <c r="D489" s="97">
        <v>29000</v>
      </c>
      <c r="E489" s="98">
        <f t="shared" ref="E489:E490" si="15">ROUND(C489*D489,0)</f>
        <v>2900</v>
      </c>
    </row>
    <row r="490" spans="1:5">
      <c r="A490" s="94" t="s">
        <v>253</v>
      </c>
      <c r="B490" s="95" t="s">
        <v>188</v>
      </c>
      <c r="C490" s="96">
        <v>1.6E-2</v>
      </c>
      <c r="D490" s="97">
        <v>140000</v>
      </c>
      <c r="E490" s="98">
        <f t="shared" si="15"/>
        <v>2240</v>
      </c>
    </row>
    <row r="491" spans="1:5">
      <c r="A491" s="99"/>
      <c r="B491" s="101">
        <f>+E491/D501</f>
        <v>0.50349999999999995</v>
      </c>
      <c r="C491" s="98"/>
      <c r="D491" s="99" t="s">
        <v>209</v>
      </c>
      <c r="E491" s="100">
        <f>SUM(E488:E490)</f>
        <v>20140</v>
      </c>
    </row>
    <row r="492" spans="1:5">
      <c r="A492" s="92" t="s">
        <v>210</v>
      </c>
      <c r="B492" s="93" t="s">
        <v>164</v>
      </c>
      <c r="C492" s="93" t="s">
        <v>2</v>
      </c>
      <c r="D492" s="93" t="s">
        <v>202</v>
      </c>
      <c r="E492" s="93" t="s">
        <v>203</v>
      </c>
    </row>
    <row r="493" spans="1:5">
      <c r="A493" s="94" t="s">
        <v>254</v>
      </c>
      <c r="B493" s="95" t="s">
        <v>212</v>
      </c>
      <c r="C493" s="96">
        <v>0.10108499999999999</v>
      </c>
      <c r="D493" s="97">
        <v>171670</v>
      </c>
      <c r="E493" s="98">
        <f>ROUND(C493*D493,0)</f>
        <v>17353</v>
      </c>
    </row>
    <row r="494" spans="1:5">
      <c r="A494" s="99"/>
      <c r="B494" s="101">
        <f>+E494/D501</f>
        <v>0.43382500000000002</v>
      </c>
      <c r="C494" s="98"/>
      <c r="D494" s="99" t="s">
        <v>209</v>
      </c>
      <c r="E494" s="100">
        <f>+E493</f>
        <v>17353</v>
      </c>
    </row>
    <row r="495" spans="1:5">
      <c r="A495" s="92" t="s">
        <v>218</v>
      </c>
      <c r="B495" s="93" t="s">
        <v>164</v>
      </c>
      <c r="C495" s="93" t="s">
        <v>2</v>
      </c>
      <c r="D495" s="93" t="s">
        <v>202</v>
      </c>
      <c r="E495" s="93" t="s">
        <v>203</v>
      </c>
    </row>
    <row r="496" spans="1:5">
      <c r="A496" s="94" t="s">
        <v>213</v>
      </c>
      <c r="B496" s="95" t="s">
        <v>214</v>
      </c>
      <c r="C496" s="96">
        <v>0.05</v>
      </c>
      <c r="D496" s="97">
        <f>+E491</f>
        <v>20140</v>
      </c>
      <c r="E496" s="98">
        <f>ROUND(C496*D496,0)</f>
        <v>1007</v>
      </c>
    </row>
    <row r="497" spans="1:5">
      <c r="A497" s="99"/>
      <c r="B497" s="101">
        <f>+E497/D501</f>
        <v>2.5174999999999999E-2</v>
      </c>
      <c r="C497" s="98"/>
      <c r="D497" s="99" t="s">
        <v>209</v>
      </c>
      <c r="E497" s="100">
        <f>SUM(E496:E496)</f>
        <v>1007</v>
      </c>
    </row>
    <row r="498" spans="1:5">
      <c r="A498" s="92" t="s">
        <v>219</v>
      </c>
      <c r="B498" s="93" t="s">
        <v>164</v>
      </c>
      <c r="C498" s="93" t="s">
        <v>2</v>
      </c>
      <c r="D498" s="93" t="s">
        <v>202</v>
      </c>
      <c r="E498" s="93" t="s">
        <v>203</v>
      </c>
    </row>
    <row r="499" spans="1:5">
      <c r="A499" s="94" t="s">
        <v>217</v>
      </c>
      <c r="B499" s="95" t="s">
        <v>190</v>
      </c>
      <c r="C499" s="96">
        <v>0.02</v>
      </c>
      <c r="D499" s="97">
        <v>75000</v>
      </c>
      <c r="E499" s="98">
        <f>ROUND(C499*D499,0)</f>
        <v>1500</v>
      </c>
    </row>
    <row r="500" spans="1:5">
      <c r="A500" s="99"/>
      <c r="B500" s="101">
        <f>+E500/D501</f>
        <v>3.7499999999999999E-2</v>
      </c>
      <c r="C500" s="98"/>
      <c r="D500" s="99" t="s">
        <v>209</v>
      </c>
      <c r="E500" s="100">
        <f>SUM(E499:E499)</f>
        <v>1500</v>
      </c>
    </row>
    <row r="501" spans="1:5">
      <c r="A501" s="213" t="s">
        <v>215</v>
      </c>
      <c r="B501" s="213"/>
      <c r="C501" s="213"/>
      <c r="D501" s="214">
        <f>+E500+E497+E494+E491</f>
        <v>40000</v>
      </c>
      <c r="E501" s="214"/>
    </row>
    <row r="503" spans="1:5" ht="20.25">
      <c r="A503" s="200" t="s">
        <v>216</v>
      </c>
      <c r="B503" s="201"/>
      <c r="C503" s="201"/>
      <c r="D503" s="201"/>
      <c r="E503" s="202"/>
    </row>
    <row r="504" spans="1:5">
      <c r="A504" s="203"/>
      <c r="B504" s="204"/>
      <c r="C504" s="205"/>
      <c r="D504" s="90" t="s">
        <v>199</v>
      </c>
      <c r="E504" s="90" t="s">
        <v>164</v>
      </c>
    </row>
    <row r="505" spans="1:5">
      <c r="A505" s="207"/>
      <c r="B505" s="208"/>
      <c r="C505" s="206"/>
      <c r="D505" s="91" t="s">
        <v>146</v>
      </c>
      <c r="E505" s="91" t="s">
        <v>186</v>
      </c>
    </row>
    <row r="506" spans="1:5" ht="15.75">
      <c r="A506" s="209" t="s">
        <v>200</v>
      </c>
      <c r="B506" s="209"/>
      <c r="C506" s="209"/>
      <c r="D506" s="209"/>
      <c r="E506" s="209"/>
    </row>
    <row r="507" spans="1:5" ht="30" customHeight="1">
      <c r="A507" s="210" t="s">
        <v>223</v>
      </c>
      <c r="B507" s="211"/>
      <c r="C507" s="211"/>
      <c r="D507" s="211"/>
      <c r="E507" s="212"/>
    </row>
    <row r="508" spans="1:5">
      <c r="A508" s="92" t="s">
        <v>201</v>
      </c>
      <c r="B508" s="93" t="s">
        <v>164</v>
      </c>
      <c r="C508" s="93" t="s">
        <v>2</v>
      </c>
      <c r="D508" s="93" t="s">
        <v>202</v>
      </c>
      <c r="E508" s="93" t="s">
        <v>203</v>
      </c>
    </row>
    <row r="509" spans="1:5">
      <c r="A509" s="94" t="s">
        <v>236</v>
      </c>
      <c r="B509" s="95" t="s">
        <v>238</v>
      </c>
      <c r="C509" s="96">
        <v>0.1</v>
      </c>
      <c r="D509" s="97">
        <v>29000</v>
      </c>
      <c r="E509" s="98">
        <f t="shared" ref="E509:E510" si="16">ROUND(C509*D509,0)</f>
        <v>2900</v>
      </c>
    </row>
    <row r="510" spans="1:5">
      <c r="A510" s="94" t="s">
        <v>258</v>
      </c>
      <c r="B510" s="95" t="s">
        <v>188</v>
      </c>
      <c r="C510" s="96">
        <v>2.8000000000000001E-2</v>
      </c>
      <c r="D510" s="97">
        <v>140000</v>
      </c>
      <c r="E510" s="98">
        <f t="shared" si="16"/>
        <v>3920</v>
      </c>
    </row>
    <row r="511" spans="1:5">
      <c r="A511" s="99"/>
      <c r="B511" s="101">
        <f>+E511/D523</f>
        <v>0.27279999999999999</v>
      </c>
      <c r="C511" s="98"/>
      <c r="D511" s="99" t="s">
        <v>209</v>
      </c>
      <c r="E511" s="100">
        <f>SUM(E509:E510)</f>
        <v>6820</v>
      </c>
    </row>
    <row r="512" spans="1:5">
      <c r="A512" s="92" t="s">
        <v>210</v>
      </c>
      <c r="B512" s="93" t="s">
        <v>164</v>
      </c>
      <c r="C512" s="93" t="s">
        <v>2</v>
      </c>
      <c r="D512" s="93" t="s">
        <v>202</v>
      </c>
      <c r="E512" s="93" t="s">
        <v>203</v>
      </c>
    </row>
    <row r="513" spans="1:5">
      <c r="A513" s="94" t="s">
        <v>250</v>
      </c>
      <c r="B513" s="95" t="s">
        <v>212</v>
      </c>
      <c r="C513" s="96">
        <v>0.1</v>
      </c>
      <c r="D513" s="97">
        <v>171670</v>
      </c>
      <c r="E513" s="98">
        <f>ROUND(C513*D513,0)</f>
        <v>17167</v>
      </c>
    </row>
    <row r="514" spans="1:5">
      <c r="A514" s="99"/>
      <c r="B514" s="101">
        <f>+E514/D523</f>
        <v>0.68667999999999996</v>
      </c>
      <c r="C514" s="98"/>
      <c r="D514" s="99" t="s">
        <v>209</v>
      </c>
      <c r="E514" s="100">
        <f>+E513</f>
        <v>17167</v>
      </c>
    </row>
    <row r="515" spans="1:5">
      <c r="A515" s="92" t="s">
        <v>218</v>
      </c>
      <c r="B515" s="93" t="s">
        <v>164</v>
      </c>
      <c r="C515" s="93" t="s">
        <v>2</v>
      </c>
      <c r="D515" s="93" t="s">
        <v>202</v>
      </c>
      <c r="E515" s="93" t="s">
        <v>203</v>
      </c>
    </row>
    <row r="516" spans="1:5">
      <c r="A516" s="94" t="s">
        <v>213</v>
      </c>
      <c r="B516" s="95" t="s">
        <v>214</v>
      </c>
      <c r="C516" s="96">
        <v>0.05</v>
      </c>
      <c r="D516" s="97">
        <f>+E511</f>
        <v>6820</v>
      </c>
      <c r="E516" s="98">
        <f>ROUND(C516*D516,0)</f>
        <v>341</v>
      </c>
    </row>
    <row r="517" spans="1:5" ht="25.5">
      <c r="A517" s="173" t="s">
        <v>259</v>
      </c>
      <c r="B517" s="95" t="s">
        <v>260</v>
      </c>
      <c r="C517" s="96">
        <v>0.1</v>
      </c>
      <c r="D517" s="97">
        <v>3717</v>
      </c>
      <c r="E517" s="98">
        <f t="shared" ref="E517:E518" si="17">ROUND(C517*D517,0)</f>
        <v>372</v>
      </c>
    </row>
    <row r="518" spans="1:5" ht="25.5">
      <c r="A518" s="173" t="s">
        <v>261</v>
      </c>
      <c r="B518" s="95" t="s">
        <v>260</v>
      </c>
      <c r="C518" s="96">
        <v>0.2</v>
      </c>
      <c r="D518" s="97">
        <v>335</v>
      </c>
      <c r="E518" s="98">
        <f t="shared" si="17"/>
        <v>67</v>
      </c>
    </row>
    <row r="519" spans="1:5">
      <c r="A519" s="99"/>
      <c r="B519" s="101">
        <f>+E519/D523</f>
        <v>3.1199999999999999E-2</v>
      </c>
      <c r="C519" s="98"/>
      <c r="D519" s="99" t="s">
        <v>209</v>
      </c>
      <c r="E519" s="100">
        <f>SUM(E516:E518)</f>
        <v>780</v>
      </c>
    </row>
    <row r="520" spans="1:5">
      <c r="A520" s="92" t="s">
        <v>219</v>
      </c>
      <c r="B520" s="93" t="s">
        <v>164</v>
      </c>
      <c r="C520" s="93" t="s">
        <v>2</v>
      </c>
      <c r="D520" s="93" t="s">
        <v>202</v>
      </c>
      <c r="E520" s="93" t="s">
        <v>203</v>
      </c>
    </row>
    <row r="521" spans="1:5">
      <c r="A521" s="94" t="s">
        <v>217</v>
      </c>
      <c r="B521" s="95" t="s">
        <v>190</v>
      </c>
      <c r="C521" s="96">
        <v>3.0999999999999999E-3</v>
      </c>
      <c r="D521" s="97">
        <v>75000</v>
      </c>
      <c r="E521" s="98">
        <f>ROUND(C521*D521,0)</f>
        <v>233</v>
      </c>
    </row>
    <row r="522" spans="1:5">
      <c r="A522" s="99"/>
      <c r="B522" s="101">
        <f>+E522/D523</f>
        <v>9.3200000000000002E-3</v>
      </c>
      <c r="C522" s="98"/>
      <c r="D522" s="99" t="s">
        <v>209</v>
      </c>
      <c r="E522" s="100">
        <f>SUM(E521:E521)</f>
        <v>233</v>
      </c>
    </row>
    <row r="523" spans="1:5">
      <c r="A523" s="213" t="s">
        <v>215</v>
      </c>
      <c r="B523" s="213"/>
      <c r="C523" s="213"/>
      <c r="D523" s="214">
        <f>+E522+E519+E514+E511</f>
        <v>25000</v>
      </c>
      <c r="E523" s="214"/>
    </row>
    <row r="524" spans="1:5">
      <c r="A524" s="114"/>
      <c r="B524" s="114"/>
      <c r="C524" s="114"/>
      <c r="D524" s="115"/>
      <c r="E524" s="115"/>
    </row>
    <row r="525" spans="1:5" ht="20.25">
      <c r="A525" s="200" t="s">
        <v>216</v>
      </c>
      <c r="B525" s="201"/>
      <c r="C525" s="201"/>
      <c r="D525" s="201"/>
      <c r="E525" s="202"/>
    </row>
    <row r="526" spans="1:5">
      <c r="A526" s="203"/>
      <c r="B526" s="204"/>
      <c r="C526" s="205"/>
      <c r="D526" s="90" t="s">
        <v>199</v>
      </c>
      <c r="E526" s="90" t="s">
        <v>164</v>
      </c>
    </row>
    <row r="527" spans="1:5">
      <c r="A527" s="207"/>
      <c r="B527" s="208"/>
      <c r="C527" s="206"/>
      <c r="D527" s="91" t="s">
        <v>229</v>
      </c>
      <c r="E527" s="91" t="s">
        <v>186</v>
      </c>
    </row>
    <row r="528" spans="1:5" ht="15.75">
      <c r="A528" s="209" t="s">
        <v>200</v>
      </c>
      <c r="B528" s="209"/>
      <c r="C528" s="209"/>
      <c r="D528" s="209"/>
      <c r="E528" s="209"/>
    </row>
    <row r="529" spans="1:5" ht="30" customHeight="1">
      <c r="A529" s="210" t="s">
        <v>275</v>
      </c>
      <c r="B529" s="211"/>
      <c r="C529" s="211"/>
      <c r="D529" s="211"/>
      <c r="E529" s="212"/>
    </row>
    <row r="530" spans="1:5">
      <c r="A530" s="92" t="s">
        <v>201</v>
      </c>
      <c r="B530" s="93" t="s">
        <v>164</v>
      </c>
      <c r="C530" s="93" t="s">
        <v>2</v>
      </c>
      <c r="D530" s="93" t="s">
        <v>202</v>
      </c>
      <c r="E530" s="93" t="s">
        <v>203</v>
      </c>
    </row>
    <row r="531" spans="1:5">
      <c r="A531" s="94" t="s">
        <v>236</v>
      </c>
      <c r="B531" s="95" t="s">
        <v>238</v>
      </c>
      <c r="C531" s="96">
        <v>0.1</v>
      </c>
      <c r="D531" s="97">
        <v>29000</v>
      </c>
      <c r="E531" s="98">
        <f t="shared" ref="E531:E532" si="18">ROUND(C531*D531,0)</f>
        <v>2900</v>
      </c>
    </row>
    <row r="532" spans="1:5">
      <c r="A532" s="94" t="s">
        <v>258</v>
      </c>
      <c r="B532" s="95" t="s">
        <v>188</v>
      </c>
      <c r="C532" s="96">
        <v>2.8000000000000001E-2</v>
      </c>
      <c r="D532" s="97">
        <v>140000</v>
      </c>
      <c r="E532" s="98">
        <f t="shared" si="18"/>
        <v>3920</v>
      </c>
    </row>
    <row r="533" spans="1:5">
      <c r="A533" s="94" t="s">
        <v>369</v>
      </c>
      <c r="B533" s="95" t="s">
        <v>190</v>
      </c>
      <c r="C533" s="96">
        <v>9.4999999999999998E-3</v>
      </c>
      <c r="D533" s="97">
        <v>280000</v>
      </c>
      <c r="E533" s="98">
        <f t="shared" ref="E533" si="19">ROUND(C533*D533,0)</f>
        <v>2660</v>
      </c>
    </row>
    <row r="534" spans="1:5">
      <c r="A534" s="94" t="s">
        <v>370</v>
      </c>
      <c r="B534" s="95" t="s">
        <v>190</v>
      </c>
      <c r="C534" s="96">
        <v>9.4999999999999998E-3</v>
      </c>
      <c r="D534" s="97">
        <v>211000</v>
      </c>
      <c r="E534" s="98">
        <f t="shared" ref="E534" si="20">ROUND(C534*D534,0)</f>
        <v>2005</v>
      </c>
    </row>
    <row r="535" spans="1:5">
      <c r="A535" s="99"/>
      <c r="B535" s="101">
        <f>+E535/D547</f>
        <v>0.38283333333333336</v>
      </c>
      <c r="C535" s="98"/>
      <c r="D535" s="99" t="s">
        <v>209</v>
      </c>
      <c r="E535" s="100">
        <f>SUM(E531:E534)</f>
        <v>11485</v>
      </c>
    </row>
    <row r="536" spans="1:5">
      <c r="A536" s="92" t="s">
        <v>210</v>
      </c>
      <c r="B536" s="93" t="s">
        <v>164</v>
      </c>
      <c r="C536" s="93" t="s">
        <v>2</v>
      </c>
      <c r="D536" s="93" t="s">
        <v>202</v>
      </c>
      <c r="E536" s="93" t="s">
        <v>203</v>
      </c>
    </row>
    <row r="537" spans="1:5">
      <c r="A537" s="94" t="s">
        <v>250</v>
      </c>
      <c r="B537" s="95" t="s">
        <v>212</v>
      </c>
      <c r="C537" s="96">
        <v>0.1</v>
      </c>
      <c r="D537" s="97">
        <v>171670</v>
      </c>
      <c r="E537" s="98">
        <f>ROUND(C537*D537,0)</f>
        <v>17167</v>
      </c>
    </row>
    <row r="538" spans="1:5">
      <c r="A538" s="99"/>
      <c r="B538" s="101">
        <f>+E538/D547</f>
        <v>0.57223333333333337</v>
      </c>
      <c r="C538" s="98"/>
      <c r="D538" s="99" t="s">
        <v>209</v>
      </c>
      <c r="E538" s="100">
        <f>+E537</f>
        <v>17167</v>
      </c>
    </row>
    <row r="539" spans="1:5">
      <c r="A539" s="92" t="s">
        <v>218</v>
      </c>
      <c r="B539" s="93" t="s">
        <v>164</v>
      </c>
      <c r="C539" s="93" t="s">
        <v>2</v>
      </c>
      <c r="D539" s="93" t="s">
        <v>202</v>
      </c>
      <c r="E539" s="93" t="s">
        <v>203</v>
      </c>
    </row>
    <row r="540" spans="1:5">
      <c r="A540" s="94" t="s">
        <v>213</v>
      </c>
      <c r="B540" s="95" t="s">
        <v>214</v>
      </c>
      <c r="C540" s="96">
        <v>0.05</v>
      </c>
      <c r="D540" s="97">
        <f>+E535</f>
        <v>11485</v>
      </c>
      <c r="E540" s="98">
        <f>ROUND(C540*D540,0)</f>
        <v>574</v>
      </c>
    </row>
    <row r="541" spans="1:5" ht="25.5">
      <c r="A541" s="173" t="s">
        <v>259</v>
      </c>
      <c r="B541" s="95" t="s">
        <v>260</v>
      </c>
      <c r="C541" s="96">
        <v>0.1</v>
      </c>
      <c r="D541" s="97">
        <v>3717</v>
      </c>
      <c r="E541" s="98">
        <f t="shared" ref="E541:E542" si="21">ROUND(C541*D541,0)</f>
        <v>372</v>
      </c>
    </row>
    <row r="542" spans="1:5" ht="25.5">
      <c r="A542" s="173" t="s">
        <v>261</v>
      </c>
      <c r="B542" s="95" t="s">
        <v>260</v>
      </c>
      <c r="C542" s="96">
        <v>0.2</v>
      </c>
      <c r="D542" s="97">
        <v>335</v>
      </c>
      <c r="E542" s="98">
        <f t="shared" si="21"/>
        <v>67</v>
      </c>
    </row>
    <row r="543" spans="1:5">
      <c r="A543" s="99"/>
      <c r="B543" s="101">
        <f>+E543/D547</f>
        <v>3.3766666666666667E-2</v>
      </c>
      <c r="C543" s="98"/>
      <c r="D543" s="99" t="s">
        <v>209</v>
      </c>
      <c r="E543" s="100">
        <f>SUM(E540:E542)</f>
        <v>1013</v>
      </c>
    </row>
    <row r="544" spans="1:5">
      <c r="A544" s="92" t="s">
        <v>219</v>
      </c>
      <c r="B544" s="93" t="s">
        <v>164</v>
      </c>
      <c r="C544" s="93" t="s">
        <v>2</v>
      </c>
      <c r="D544" s="93" t="s">
        <v>202</v>
      </c>
      <c r="E544" s="93" t="s">
        <v>203</v>
      </c>
    </row>
    <row r="545" spans="1:5">
      <c r="A545" s="94" t="s">
        <v>217</v>
      </c>
      <c r="B545" s="95" t="s">
        <v>190</v>
      </c>
      <c r="C545" s="96">
        <v>4.47E-3</v>
      </c>
      <c r="D545" s="97">
        <v>75000</v>
      </c>
      <c r="E545" s="98">
        <f>ROUND(C545*D545,0)</f>
        <v>335</v>
      </c>
    </row>
    <row r="546" spans="1:5">
      <c r="A546" s="99"/>
      <c r="B546" s="101">
        <f>+E546/D547</f>
        <v>1.1166666666666667E-2</v>
      </c>
      <c r="C546" s="98"/>
      <c r="D546" s="99" t="s">
        <v>209</v>
      </c>
      <c r="E546" s="100">
        <f>SUM(E545:E545)</f>
        <v>335</v>
      </c>
    </row>
    <row r="547" spans="1:5">
      <c r="A547" s="213" t="s">
        <v>215</v>
      </c>
      <c r="B547" s="213"/>
      <c r="C547" s="213"/>
      <c r="D547" s="214">
        <f>+E546+E543+E538+E535</f>
        <v>30000</v>
      </c>
      <c r="E547" s="214"/>
    </row>
    <row r="548" spans="1:5">
      <c r="A548" s="114"/>
      <c r="B548" s="114"/>
      <c r="C548" s="114"/>
      <c r="D548" s="115"/>
      <c r="E548" s="115"/>
    </row>
    <row r="549" spans="1:5" ht="20.25">
      <c r="A549" s="200" t="s">
        <v>216</v>
      </c>
      <c r="B549" s="201"/>
      <c r="C549" s="201"/>
      <c r="D549" s="201"/>
      <c r="E549" s="202"/>
    </row>
    <row r="550" spans="1:5">
      <c r="A550" s="203"/>
      <c r="B550" s="204"/>
      <c r="C550" s="205"/>
      <c r="D550" s="90" t="s">
        <v>199</v>
      </c>
      <c r="E550" s="90" t="s">
        <v>164</v>
      </c>
    </row>
    <row r="551" spans="1:5">
      <c r="A551" s="207"/>
      <c r="B551" s="208"/>
      <c r="C551" s="206"/>
      <c r="D551" s="91" t="s">
        <v>365</v>
      </c>
      <c r="E551" s="91" t="s">
        <v>186</v>
      </c>
    </row>
    <row r="552" spans="1:5" ht="15.75">
      <c r="A552" s="209" t="s">
        <v>200</v>
      </c>
      <c r="B552" s="209"/>
      <c r="C552" s="209"/>
      <c r="D552" s="209"/>
      <c r="E552" s="209"/>
    </row>
    <row r="553" spans="1:5" ht="40.5" customHeight="1">
      <c r="A553" s="210" t="s">
        <v>274</v>
      </c>
      <c r="B553" s="211"/>
      <c r="C553" s="211"/>
      <c r="D553" s="211"/>
      <c r="E553" s="212"/>
    </row>
    <row r="554" spans="1:5">
      <c r="A554" s="92" t="s">
        <v>201</v>
      </c>
      <c r="B554" s="93" t="s">
        <v>164</v>
      </c>
      <c r="C554" s="93" t="s">
        <v>2</v>
      </c>
      <c r="D554" s="93" t="s">
        <v>202</v>
      </c>
      <c r="E554" s="93" t="s">
        <v>203</v>
      </c>
    </row>
    <row r="555" spans="1:5">
      <c r="A555" s="94" t="s">
        <v>371</v>
      </c>
      <c r="B555" s="95" t="s">
        <v>190</v>
      </c>
      <c r="C555" s="96">
        <v>1.66</v>
      </c>
      <c r="D555" s="97">
        <v>4200</v>
      </c>
      <c r="E555" s="98">
        <f t="shared" ref="E555" si="22">ROUND(C555*D555,0)</f>
        <v>6972</v>
      </c>
    </row>
    <row r="556" spans="1:5">
      <c r="A556" s="94" t="s">
        <v>264</v>
      </c>
      <c r="B556" s="95" t="s">
        <v>190</v>
      </c>
      <c r="C556" s="96">
        <v>0.05</v>
      </c>
      <c r="D556" s="97">
        <v>15800</v>
      </c>
      <c r="E556" s="98">
        <f t="shared" ref="E556:E557" si="23">ROUND(C556*D556,0)</f>
        <v>790</v>
      </c>
    </row>
    <row r="557" spans="1:5">
      <c r="A557" s="94" t="s">
        <v>372</v>
      </c>
      <c r="B557" s="95" t="s">
        <v>185</v>
      </c>
      <c r="C557" s="96">
        <v>0.05</v>
      </c>
      <c r="D557" s="97">
        <v>1400</v>
      </c>
      <c r="E557" s="98">
        <f t="shared" si="23"/>
        <v>70</v>
      </c>
    </row>
    <row r="558" spans="1:5">
      <c r="A558" s="99"/>
      <c r="B558" s="101">
        <f>+E558/D570</f>
        <v>0.44754285714285713</v>
      </c>
      <c r="C558" s="98"/>
      <c r="D558" s="99" t="s">
        <v>209</v>
      </c>
      <c r="E558" s="100">
        <f>SUM(E555:E557)</f>
        <v>7832</v>
      </c>
    </row>
    <row r="559" spans="1:5">
      <c r="A559" s="92" t="s">
        <v>210</v>
      </c>
      <c r="B559" s="93" t="s">
        <v>164</v>
      </c>
      <c r="C559" s="93" t="s">
        <v>2</v>
      </c>
      <c r="D559" s="93" t="s">
        <v>202</v>
      </c>
      <c r="E559" s="93" t="s">
        <v>203</v>
      </c>
    </row>
    <row r="560" spans="1:5">
      <c r="A560" s="94" t="s">
        <v>250</v>
      </c>
      <c r="B560" s="95" t="s">
        <v>212</v>
      </c>
      <c r="C560" s="96">
        <v>5.0120999999999999E-2</v>
      </c>
      <c r="D560" s="97">
        <v>171670</v>
      </c>
      <c r="E560" s="98">
        <f>ROUND(C560*D560,0)</f>
        <v>8604</v>
      </c>
    </row>
    <row r="561" spans="1:5">
      <c r="A561" s="99"/>
      <c r="B561" s="101">
        <f>+E561/D570</f>
        <v>0.49165714285714285</v>
      </c>
      <c r="C561" s="98"/>
      <c r="D561" s="99" t="s">
        <v>209</v>
      </c>
      <c r="E561" s="100">
        <f>+E560</f>
        <v>8604</v>
      </c>
    </row>
    <row r="562" spans="1:5">
      <c r="A562" s="92" t="s">
        <v>218</v>
      </c>
      <c r="B562" s="93" t="s">
        <v>164</v>
      </c>
      <c r="C562" s="93" t="s">
        <v>2</v>
      </c>
      <c r="D562" s="93" t="s">
        <v>202</v>
      </c>
      <c r="E562" s="93" t="s">
        <v>203</v>
      </c>
    </row>
    <row r="563" spans="1:5">
      <c r="A563" s="94" t="s">
        <v>213</v>
      </c>
      <c r="B563" s="95" t="s">
        <v>214</v>
      </c>
      <c r="C563" s="96">
        <v>0.05</v>
      </c>
      <c r="D563" s="97">
        <f>+E558</f>
        <v>7832</v>
      </c>
      <c r="E563" s="98">
        <f>ROUND(C563*D563,0)</f>
        <v>392</v>
      </c>
    </row>
    <row r="564" spans="1:5" ht="25.5">
      <c r="A564" s="173" t="s">
        <v>259</v>
      </c>
      <c r="B564" s="95" t="s">
        <v>260</v>
      </c>
      <c r="C564" s="96">
        <v>0.1</v>
      </c>
      <c r="D564" s="97">
        <v>3717</v>
      </c>
      <c r="E564" s="98">
        <f t="shared" ref="E564:E565" si="24">ROUND(C564*D564,0)</f>
        <v>372</v>
      </c>
    </row>
    <row r="565" spans="1:5" ht="25.5">
      <c r="A565" s="173" t="s">
        <v>261</v>
      </c>
      <c r="B565" s="95" t="s">
        <v>260</v>
      </c>
      <c r="C565" s="96">
        <v>0.2</v>
      </c>
      <c r="D565" s="97">
        <v>335</v>
      </c>
      <c r="E565" s="98">
        <f t="shared" si="24"/>
        <v>67</v>
      </c>
    </row>
    <row r="566" spans="1:5">
      <c r="A566" s="99"/>
      <c r="B566" s="101">
        <f>+E566/D570</f>
        <v>4.7485714285714284E-2</v>
      </c>
      <c r="C566" s="98"/>
      <c r="D566" s="99" t="s">
        <v>209</v>
      </c>
      <c r="E566" s="100">
        <f>SUM(E563:E565)</f>
        <v>831</v>
      </c>
    </row>
    <row r="567" spans="1:5">
      <c r="A567" s="92" t="s">
        <v>219</v>
      </c>
      <c r="B567" s="93" t="s">
        <v>164</v>
      </c>
      <c r="C567" s="93" t="s">
        <v>2</v>
      </c>
      <c r="D567" s="93" t="s">
        <v>202</v>
      </c>
      <c r="E567" s="93" t="s">
        <v>203</v>
      </c>
    </row>
    <row r="568" spans="1:5">
      <c r="A568" s="94" t="s">
        <v>217</v>
      </c>
      <c r="B568" s="95" t="s">
        <v>190</v>
      </c>
      <c r="C568" s="96">
        <v>3.0999999999999999E-3</v>
      </c>
      <c r="D568" s="97">
        <v>75000</v>
      </c>
      <c r="E568" s="98">
        <f>ROUND(C568*D568,0)</f>
        <v>233</v>
      </c>
    </row>
    <row r="569" spans="1:5">
      <c r="A569" s="99"/>
      <c r="B569" s="101">
        <f>+E569/D570</f>
        <v>1.3314285714285714E-2</v>
      </c>
      <c r="C569" s="98"/>
      <c r="D569" s="99" t="s">
        <v>209</v>
      </c>
      <c r="E569" s="100">
        <f>SUM(E568:E568)</f>
        <v>233</v>
      </c>
    </row>
    <row r="570" spans="1:5">
      <c r="A570" s="213" t="s">
        <v>215</v>
      </c>
      <c r="B570" s="213"/>
      <c r="C570" s="213"/>
      <c r="D570" s="214">
        <f>+E569+E566+E561+E558</f>
        <v>17500</v>
      </c>
      <c r="E570" s="214"/>
    </row>
    <row r="571" spans="1:5">
      <c r="A571" s="114"/>
      <c r="B571" s="114"/>
      <c r="C571" s="114"/>
      <c r="D571" s="115"/>
      <c r="E571" s="115"/>
    </row>
    <row r="572" spans="1:5" ht="20.25">
      <c r="A572" s="200" t="s">
        <v>216</v>
      </c>
      <c r="B572" s="201"/>
      <c r="C572" s="201"/>
      <c r="D572" s="201"/>
      <c r="E572" s="202"/>
    </row>
    <row r="573" spans="1:5">
      <c r="A573" s="203"/>
      <c r="B573" s="204"/>
      <c r="C573" s="205"/>
      <c r="D573" s="90" t="s">
        <v>199</v>
      </c>
      <c r="E573" s="90" t="s">
        <v>164</v>
      </c>
    </row>
    <row r="574" spans="1:5">
      <c r="A574" s="207"/>
      <c r="B574" s="208"/>
      <c r="C574" s="206"/>
      <c r="D574" s="91" t="s">
        <v>366</v>
      </c>
      <c r="E574" s="91" t="s">
        <v>186</v>
      </c>
    </row>
    <row r="575" spans="1:5" ht="15.75">
      <c r="A575" s="209" t="s">
        <v>200</v>
      </c>
      <c r="B575" s="209"/>
      <c r="C575" s="209"/>
      <c r="D575" s="209"/>
      <c r="E575" s="209"/>
    </row>
    <row r="576" spans="1:5" ht="57.75" customHeight="1">
      <c r="A576" s="210" t="s">
        <v>222</v>
      </c>
      <c r="B576" s="211"/>
      <c r="C576" s="211"/>
      <c r="D576" s="211"/>
      <c r="E576" s="212"/>
    </row>
    <row r="577" spans="1:5">
      <c r="A577" s="92" t="s">
        <v>201</v>
      </c>
      <c r="B577" s="93" t="s">
        <v>164</v>
      </c>
      <c r="C577" s="93" t="s">
        <v>2</v>
      </c>
      <c r="D577" s="93" t="s">
        <v>202</v>
      </c>
      <c r="E577" s="93" t="s">
        <v>203</v>
      </c>
    </row>
    <row r="578" spans="1:5">
      <c r="A578" s="94" t="s">
        <v>262</v>
      </c>
      <c r="B578" s="95" t="s">
        <v>263</v>
      </c>
      <c r="C578" s="96">
        <v>4.2999999999999997E-2</v>
      </c>
      <c r="D578" s="97">
        <v>74900</v>
      </c>
      <c r="E578" s="98">
        <f>ROUND(C578*D578,0)</f>
        <v>3221</v>
      </c>
    </row>
    <row r="579" spans="1:5">
      <c r="A579" s="94" t="s">
        <v>264</v>
      </c>
      <c r="B579" s="95" t="s">
        <v>190</v>
      </c>
      <c r="C579" s="96">
        <v>7.2800000000000004E-2</v>
      </c>
      <c r="D579" s="97">
        <v>15800</v>
      </c>
      <c r="E579" s="98">
        <f t="shared" ref="E579:E580" si="25">ROUND(C579*D579,0)</f>
        <v>1150</v>
      </c>
    </row>
    <row r="580" spans="1:5">
      <c r="A580" s="94" t="s">
        <v>265</v>
      </c>
      <c r="B580" s="95" t="s">
        <v>185</v>
      </c>
      <c r="C580" s="96">
        <v>0.5</v>
      </c>
      <c r="D580" s="97">
        <v>1400</v>
      </c>
      <c r="E580" s="98">
        <f t="shared" si="25"/>
        <v>700</v>
      </c>
    </row>
    <row r="581" spans="1:5">
      <c r="A581" s="99"/>
      <c r="B581" s="101">
        <f>+E581/D591</f>
        <v>0.33806666666666668</v>
      </c>
      <c r="C581" s="98"/>
      <c r="D581" s="99" t="s">
        <v>209</v>
      </c>
      <c r="E581" s="100">
        <f>SUM(E578:E580)</f>
        <v>5071</v>
      </c>
    </row>
    <row r="582" spans="1:5">
      <c r="A582" s="92" t="s">
        <v>210</v>
      </c>
      <c r="B582" s="93" t="s">
        <v>164</v>
      </c>
      <c r="C582" s="93" t="s">
        <v>2</v>
      </c>
      <c r="D582" s="93" t="s">
        <v>202</v>
      </c>
      <c r="E582" s="93" t="s">
        <v>203</v>
      </c>
    </row>
    <row r="583" spans="1:5">
      <c r="A583" s="94" t="s">
        <v>266</v>
      </c>
      <c r="B583" s="95" t="s">
        <v>212</v>
      </c>
      <c r="C583" s="96">
        <v>5.3298999999999999E-2</v>
      </c>
      <c r="D583" s="97">
        <v>171670</v>
      </c>
      <c r="E583" s="98">
        <f>ROUND(C583*D583,0)</f>
        <v>9150</v>
      </c>
    </row>
    <row r="584" spans="1:5">
      <c r="A584" s="99"/>
      <c r="B584" s="101">
        <f>+E584/D591</f>
        <v>0.61</v>
      </c>
      <c r="C584" s="98"/>
      <c r="D584" s="99" t="s">
        <v>209</v>
      </c>
      <c r="E584" s="100">
        <f>+E583</f>
        <v>9150</v>
      </c>
    </row>
    <row r="585" spans="1:5">
      <c r="A585" s="92" t="s">
        <v>218</v>
      </c>
      <c r="B585" s="93" t="s">
        <v>164</v>
      </c>
      <c r="C585" s="93" t="s">
        <v>2</v>
      </c>
      <c r="D585" s="93" t="s">
        <v>202</v>
      </c>
      <c r="E585" s="93" t="s">
        <v>203</v>
      </c>
    </row>
    <row r="586" spans="1:5">
      <c r="A586" s="94" t="s">
        <v>213</v>
      </c>
      <c r="B586" s="95" t="s">
        <v>214</v>
      </c>
      <c r="C586" s="96">
        <v>0.05</v>
      </c>
      <c r="D586" s="97">
        <f>+E581</f>
        <v>5071</v>
      </c>
      <c r="E586" s="98">
        <f>ROUND(C586*D586,0)</f>
        <v>254</v>
      </c>
    </row>
    <row r="587" spans="1:5">
      <c r="A587" s="99"/>
      <c r="B587" s="101">
        <f>+E587/D591</f>
        <v>1.6933333333333335E-2</v>
      </c>
      <c r="C587" s="98"/>
      <c r="D587" s="99" t="s">
        <v>209</v>
      </c>
      <c r="E587" s="100">
        <f>SUM(E586:E586)</f>
        <v>254</v>
      </c>
    </row>
    <row r="588" spans="1:5">
      <c r="A588" s="92" t="s">
        <v>219</v>
      </c>
      <c r="B588" s="93" t="s">
        <v>164</v>
      </c>
      <c r="C588" s="93" t="s">
        <v>2</v>
      </c>
      <c r="D588" s="93" t="s">
        <v>202</v>
      </c>
      <c r="E588" s="93" t="s">
        <v>203</v>
      </c>
    </row>
    <row r="589" spans="1:5">
      <c r="A589" s="94" t="s">
        <v>217</v>
      </c>
      <c r="B589" s="95" t="s">
        <v>190</v>
      </c>
      <c r="C589" s="96">
        <v>7.0000000000000001E-3</v>
      </c>
      <c r="D589" s="97">
        <v>75000</v>
      </c>
      <c r="E589" s="98">
        <f>ROUND(C589*D589,0)</f>
        <v>525</v>
      </c>
    </row>
    <row r="590" spans="1:5">
      <c r="A590" s="99"/>
      <c r="B590" s="101">
        <f>+E590/D591</f>
        <v>3.5000000000000003E-2</v>
      </c>
      <c r="C590" s="98"/>
      <c r="D590" s="99" t="s">
        <v>209</v>
      </c>
      <c r="E590" s="100">
        <f>SUM(E589:E589)</f>
        <v>525</v>
      </c>
    </row>
    <row r="591" spans="1:5">
      <c r="A591" s="213" t="s">
        <v>215</v>
      </c>
      <c r="B591" s="213"/>
      <c r="C591" s="213"/>
      <c r="D591" s="214">
        <f>+E590+E587+E584+E581</f>
        <v>15000</v>
      </c>
      <c r="E591" s="214"/>
    </row>
    <row r="593" spans="1:5" ht="20.25">
      <c r="A593" s="200" t="s">
        <v>216</v>
      </c>
      <c r="B593" s="201"/>
      <c r="C593" s="201"/>
      <c r="D593" s="201"/>
      <c r="E593" s="202"/>
    </row>
    <row r="594" spans="1:5">
      <c r="A594" s="203"/>
      <c r="B594" s="204"/>
      <c r="C594" s="205"/>
      <c r="D594" s="90" t="s">
        <v>199</v>
      </c>
      <c r="E594" s="90" t="s">
        <v>164</v>
      </c>
    </row>
    <row r="595" spans="1:5">
      <c r="A595" s="207"/>
      <c r="B595" s="208"/>
      <c r="C595" s="206"/>
      <c r="D595" s="91" t="s">
        <v>367</v>
      </c>
      <c r="E595" s="91" t="s">
        <v>186</v>
      </c>
    </row>
    <row r="596" spans="1:5" ht="15.75">
      <c r="A596" s="209" t="s">
        <v>200</v>
      </c>
      <c r="B596" s="209"/>
      <c r="C596" s="209"/>
      <c r="D596" s="209"/>
      <c r="E596" s="209"/>
    </row>
    <row r="597" spans="1:5" ht="59.25" customHeight="1">
      <c r="A597" s="210" t="s">
        <v>276</v>
      </c>
      <c r="B597" s="211"/>
      <c r="C597" s="211"/>
      <c r="D597" s="211"/>
      <c r="E597" s="212"/>
    </row>
    <row r="598" spans="1:5">
      <c r="A598" s="92" t="s">
        <v>201</v>
      </c>
      <c r="B598" s="93" t="s">
        <v>164</v>
      </c>
      <c r="C598" s="93" t="s">
        <v>2</v>
      </c>
      <c r="D598" s="93" t="s">
        <v>202</v>
      </c>
      <c r="E598" s="93" t="s">
        <v>203</v>
      </c>
    </row>
    <row r="599" spans="1:5">
      <c r="A599" s="94" t="s">
        <v>373</v>
      </c>
      <c r="B599" s="95" t="s">
        <v>263</v>
      </c>
      <c r="C599" s="96">
        <v>0.12265</v>
      </c>
      <c r="D599" s="97">
        <v>84500</v>
      </c>
      <c r="E599" s="98">
        <f>ROUND(C599*D599,0)</f>
        <v>10364</v>
      </c>
    </row>
    <row r="600" spans="1:5">
      <c r="A600" s="94" t="s">
        <v>264</v>
      </c>
      <c r="B600" s="95" t="s">
        <v>190</v>
      </c>
      <c r="C600" s="96">
        <v>7.2800000000000004E-2</v>
      </c>
      <c r="D600" s="97">
        <v>15800</v>
      </c>
      <c r="E600" s="98">
        <f t="shared" ref="E600:E601" si="26">ROUND(C600*D600,0)</f>
        <v>1150</v>
      </c>
    </row>
    <row r="601" spans="1:5">
      <c r="A601" s="94" t="s">
        <v>265</v>
      </c>
      <c r="B601" s="95" t="s">
        <v>185</v>
      </c>
      <c r="C601" s="96">
        <v>0.5</v>
      </c>
      <c r="D601" s="97">
        <v>1400</v>
      </c>
      <c r="E601" s="98">
        <f t="shared" si="26"/>
        <v>700</v>
      </c>
    </row>
    <row r="602" spans="1:5">
      <c r="A602" s="99"/>
      <c r="B602" s="101">
        <f>+E602/D612</f>
        <v>0.54284444444444446</v>
      </c>
      <c r="C602" s="98"/>
      <c r="D602" s="99" t="s">
        <v>209</v>
      </c>
      <c r="E602" s="100">
        <f>SUM(E599:E601)</f>
        <v>12214</v>
      </c>
    </row>
    <row r="603" spans="1:5">
      <c r="A603" s="92" t="s">
        <v>210</v>
      </c>
      <c r="B603" s="93" t="s">
        <v>164</v>
      </c>
      <c r="C603" s="93" t="s">
        <v>2</v>
      </c>
      <c r="D603" s="93" t="s">
        <v>202</v>
      </c>
      <c r="E603" s="93" t="s">
        <v>203</v>
      </c>
    </row>
    <row r="604" spans="1:5">
      <c r="A604" s="94" t="s">
        <v>266</v>
      </c>
      <c r="B604" s="95" t="s">
        <v>212</v>
      </c>
      <c r="C604" s="96">
        <v>5.3298999999999999E-2</v>
      </c>
      <c r="D604" s="97">
        <v>171670</v>
      </c>
      <c r="E604" s="98">
        <f>ROUND(C604*D604,0)</f>
        <v>9150</v>
      </c>
    </row>
    <row r="605" spans="1:5">
      <c r="A605" s="99"/>
      <c r="B605" s="101">
        <f>+E605/D612</f>
        <v>0.40666666666666668</v>
      </c>
      <c r="C605" s="98"/>
      <c r="D605" s="99" t="s">
        <v>209</v>
      </c>
      <c r="E605" s="100">
        <f>+E604</f>
        <v>9150</v>
      </c>
    </row>
    <row r="606" spans="1:5">
      <c r="A606" s="92" t="s">
        <v>218</v>
      </c>
      <c r="B606" s="93" t="s">
        <v>164</v>
      </c>
      <c r="C606" s="93" t="s">
        <v>2</v>
      </c>
      <c r="D606" s="93" t="s">
        <v>202</v>
      </c>
      <c r="E606" s="93" t="s">
        <v>203</v>
      </c>
    </row>
    <row r="607" spans="1:5">
      <c r="A607" s="94" t="s">
        <v>213</v>
      </c>
      <c r="B607" s="95" t="s">
        <v>214</v>
      </c>
      <c r="C607" s="96">
        <v>0.05</v>
      </c>
      <c r="D607" s="97">
        <f>+E602</f>
        <v>12214</v>
      </c>
      <c r="E607" s="98">
        <f>ROUND(C607*D607,0)</f>
        <v>611</v>
      </c>
    </row>
    <row r="608" spans="1:5">
      <c r="A608" s="99"/>
      <c r="B608" s="101">
        <f>+E608/D612</f>
        <v>2.7155555555555554E-2</v>
      </c>
      <c r="C608" s="98"/>
      <c r="D608" s="99" t="s">
        <v>209</v>
      </c>
      <c r="E608" s="100">
        <f>SUM(E607:E607)</f>
        <v>611</v>
      </c>
    </row>
    <row r="609" spans="1:5">
      <c r="A609" s="92" t="s">
        <v>219</v>
      </c>
      <c r="B609" s="93" t="s">
        <v>164</v>
      </c>
      <c r="C609" s="93" t="s">
        <v>2</v>
      </c>
      <c r="D609" s="93" t="s">
        <v>202</v>
      </c>
      <c r="E609" s="93" t="s">
        <v>203</v>
      </c>
    </row>
    <row r="610" spans="1:5">
      <c r="A610" s="94" t="s">
        <v>217</v>
      </c>
      <c r="B610" s="95" t="s">
        <v>190</v>
      </c>
      <c r="C610" s="96">
        <v>7.0000000000000001E-3</v>
      </c>
      <c r="D610" s="97">
        <v>75000</v>
      </c>
      <c r="E610" s="98">
        <f>ROUND(C610*D610,0)</f>
        <v>525</v>
      </c>
    </row>
    <row r="611" spans="1:5">
      <c r="A611" s="99"/>
      <c r="B611" s="101">
        <f>+E611/D612</f>
        <v>2.3333333333333334E-2</v>
      </c>
      <c r="C611" s="98"/>
      <c r="D611" s="99" t="s">
        <v>209</v>
      </c>
      <c r="E611" s="100">
        <f>SUM(E610:E610)</f>
        <v>525</v>
      </c>
    </row>
    <row r="612" spans="1:5">
      <c r="A612" s="213" t="s">
        <v>215</v>
      </c>
      <c r="B612" s="213"/>
      <c r="C612" s="213"/>
      <c r="D612" s="214">
        <f>+E611+E608+E605+E602</f>
        <v>22500</v>
      </c>
      <c r="E612" s="214"/>
    </row>
    <row r="614" spans="1:5" ht="20.25">
      <c r="A614" s="200" t="s">
        <v>216</v>
      </c>
      <c r="B614" s="201"/>
      <c r="C614" s="201"/>
      <c r="D614" s="201"/>
      <c r="E614" s="202"/>
    </row>
    <row r="615" spans="1:5">
      <c r="A615" s="203"/>
      <c r="B615" s="204"/>
      <c r="C615" s="205"/>
      <c r="D615" s="90" t="s">
        <v>199</v>
      </c>
      <c r="E615" s="90" t="s">
        <v>164</v>
      </c>
    </row>
    <row r="616" spans="1:5">
      <c r="A616" s="207"/>
      <c r="B616" s="208"/>
      <c r="C616" s="206"/>
      <c r="D616" s="91" t="s">
        <v>368</v>
      </c>
      <c r="E616" s="91" t="s">
        <v>189</v>
      </c>
    </row>
    <row r="617" spans="1:5" ht="15.75">
      <c r="A617" s="209" t="s">
        <v>200</v>
      </c>
      <c r="B617" s="209"/>
      <c r="C617" s="209"/>
      <c r="D617" s="209"/>
      <c r="E617" s="209"/>
    </row>
    <row r="618" spans="1:5" ht="29.25" customHeight="1">
      <c r="A618" s="210" t="s">
        <v>277</v>
      </c>
      <c r="B618" s="211"/>
      <c r="C618" s="211"/>
      <c r="D618" s="211"/>
      <c r="E618" s="212"/>
    </row>
    <row r="619" spans="1:5">
      <c r="A619" s="92" t="s">
        <v>201</v>
      </c>
      <c r="B619" s="93" t="s">
        <v>164</v>
      </c>
      <c r="C619" s="93" t="s">
        <v>2</v>
      </c>
      <c r="D619" s="93" t="s">
        <v>202</v>
      </c>
      <c r="E619" s="93" t="s">
        <v>203</v>
      </c>
    </row>
    <row r="620" spans="1:5">
      <c r="A620" s="94" t="s">
        <v>374</v>
      </c>
      <c r="B620" s="95" t="s">
        <v>189</v>
      </c>
      <c r="C620" s="96">
        <v>1</v>
      </c>
      <c r="D620" s="97">
        <v>41500</v>
      </c>
      <c r="E620" s="98">
        <f>ROUND(C620*D620,0)</f>
        <v>41500</v>
      </c>
    </row>
    <row r="621" spans="1:5">
      <c r="A621" s="94" t="s">
        <v>376</v>
      </c>
      <c r="B621" s="95" t="s">
        <v>164</v>
      </c>
      <c r="C621" s="96">
        <v>0.01</v>
      </c>
      <c r="D621" s="97">
        <v>17900</v>
      </c>
      <c r="E621" s="98">
        <f t="shared" ref="E621:E622" si="27">ROUND(C621*D621,0)</f>
        <v>179</v>
      </c>
    </row>
    <row r="622" spans="1:5">
      <c r="A622" s="94" t="s">
        <v>375</v>
      </c>
      <c r="B622" s="95" t="s">
        <v>263</v>
      </c>
      <c r="C622" s="96">
        <v>0.1</v>
      </c>
      <c r="D622" s="97">
        <v>16900</v>
      </c>
      <c r="E622" s="98">
        <f t="shared" si="27"/>
        <v>1690</v>
      </c>
    </row>
    <row r="623" spans="1:5">
      <c r="A623" s="99"/>
      <c r="B623" s="101">
        <f>+E623/D633</f>
        <v>0.78852727272727274</v>
      </c>
      <c r="C623" s="98"/>
      <c r="D623" s="99" t="s">
        <v>209</v>
      </c>
      <c r="E623" s="100">
        <f>SUM(E620:E622)</f>
        <v>43369</v>
      </c>
    </row>
    <row r="624" spans="1:5">
      <c r="A624" s="92" t="s">
        <v>210</v>
      </c>
      <c r="B624" s="93" t="s">
        <v>164</v>
      </c>
      <c r="C624" s="93" t="s">
        <v>2</v>
      </c>
      <c r="D624" s="93" t="s">
        <v>202</v>
      </c>
      <c r="E624" s="93" t="s">
        <v>203</v>
      </c>
    </row>
    <row r="625" spans="1:5">
      <c r="A625" s="94" t="s">
        <v>266</v>
      </c>
      <c r="B625" s="95" t="s">
        <v>212</v>
      </c>
      <c r="C625" s="96">
        <v>5.2499999999999998E-2</v>
      </c>
      <c r="D625" s="97">
        <v>171670</v>
      </c>
      <c r="E625" s="98">
        <f>ROUND(C625*D625,0)</f>
        <v>9013</v>
      </c>
    </row>
    <row r="626" spans="1:5">
      <c r="A626" s="99"/>
      <c r="B626" s="101">
        <f>+E626/D633</f>
        <v>0.16387272727272728</v>
      </c>
      <c r="C626" s="98"/>
      <c r="D626" s="99" t="s">
        <v>209</v>
      </c>
      <c r="E626" s="100">
        <f>+E625</f>
        <v>9013</v>
      </c>
    </row>
    <row r="627" spans="1:5">
      <c r="A627" s="92" t="s">
        <v>218</v>
      </c>
      <c r="B627" s="93" t="s">
        <v>164</v>
      </c>
      <c r="C627" s="93" t="s">
        <v>2</v>
      </c>
      <c r="D627" s="93" t="s">
        <v>202</v>
      </c>
      <c r="E627" s="93" t="s">
        <v>203</v>
      </c>
    </row>
    <row r="628" spans="1:5">
      <c r="A628" s="94" t="s">
        <v>213</v>
      </c>
      <c r="B628" s="95" t="s">
        <v>214</v>
      </c>
      <c r="C628" s="96">
        <v>0.05</v>
      </c>
      <c r="D628" s="97">
        <f>+E623</f>
        <v>43369</v>
      </c>
      <c r="E628" s="98">
        <f>ROUND(C628*D628,0)</f>
        <v>2168</v>
      </c>
    </row>
    <row r="629" spans="1:5">
      <c r="A629" s="99"/>
      <c r="B629" s="101">
        <f>+E629/D633</f>
        <v>3.9418181818181817E-2</v>
      </c>
      <c r="C629" s="98"/>
      <c r="D629" s="99" t="s">
        <v>209</v>
      </c>
      <c r="E629" s="100">
        <f>SUM(E628:E628)</f>
        <v>2168</v>
      </c>
    </row>
    <row r="630" spans="1:5">
      <c r="A630" s="92" t="s">
        <v>219</v>
      </c>
      <c r="B630" s="93" t="s">
        <v>164</v>
      </c>
      <c r="C630" s="93" t="s">
        <v>2</v>
      </c>
      <c r="D630" s="93" t="s">
        <v>202</v>
      </c>
      <c r="E630" s="93" t="s">
        <v>203</v>
      </c>
    </row>
    <row r="631" spans="1:5">
      <c r="A631" s="94" t="s">
        <v>217</v>
      </c>
      <c r="B631" s="95" t="s">
        <v>190</v>
      </c>
      <c r="C631" s="96">
        <v>6.0000000000000001E-3</v>
      </c>
      <c r="D631" s="97">
        <v>75000</v>
      </c>
      <c r="E631" s="98">
        <f>ROUND(C631*D631,0)</f>
        <v>450</v>
      </c>
    </row>
    <row r="632" spans="1:5">
      <c r="A632" s="99"/>
      <c r="B632" s="101">
        <f>+E632/D633</f>
        <v>8.1818181818181825E-3</v>
      </c>
      <c r="C632" s="98"/>
      <c r="D632" s="99" t="s">
        <v>209</v>
      </c>
      <c r="E632" s="100">
        <f>SUM(E631:E631)</f>
        <v>450</v>
      </c>
    </row>
    <row r="633" spans="1:5">
      <c r="A633" s="213" t="s">
        <v>215</v>
      </c>
      <c r="B633" s="213"/>
      <c r="C633" s="213"/>
      <c r="D633" s="214">
        <f>+E632+E629+E626+E623</f>
        <v>55000</v>
      </c>
      <c r="E633" s="214"/>
    </row>
    <row r="635" spans="1:5" ht="20.25">
      <c r="A635" s="200" t="s">
        <v>216</v>
      </c>
      <c r="B635" s="201"/>
      <c r="C635" s="201"/>
      <c r="D635" s="201"/>
      <c r="E635" s="202"/>
    </row>
    <row r="636" spans="1:5">
      <c r="A636" s="203"/>
      <c r="B636" s="204"/>
      <c r="C636" s="218"/>
      <c r="D636" s="90" t="s">
        <v>199</v>
      </c>
      <c r="E636" s="90" t="s">
        <v>164</v>
      </c>
    </row>
    <row r="637" spans="1:5">
      <c r="A637" s="207"/>
      <c r="B637" s="208"/>
      <c r="C637" s="206"/>
      <c r="D637" s="91" t="s">
        <v>145</v>
      </c>
      <c r="E637" s="91" t="s">
        <v>186</v>
      </c>
    </row>
    <row r="638" spans="1:5" ht="15.75">
      <c r="A638" s="219" t="s">
        <v>200</v>
      </c>
      <c r="B638" s="220"/>
      <c r="C638" s="220"/>
      <c r="D638" s="220"/>
      <c r="E638" s="221"/>
    </row>
    <row r="639" spans="1:5" ht="46.5" customHeight="1">
      <c r="A639" s="210" t="s">
        <v>183</v>
      </c>
      <c r="B639" s="211"/>
      <c r="C639" s="211"/>
      <c r="D639" s="211"/>
      <c r="E639" s="212"/>
    </row>
    <row r="640" spans="1:5">
      <c r="A640" s="92" t="s">
        <v>201</v>
      </c>
      <c r="B640" s="93" t="s">
        <v>164</v>
      </c>
      <c r="C640" s="93" t="s">
        <v>2</v>
      </c>
      <c r="D640" s="93" t="s">
        <v>202</v>
      </c>
      <c r="E640" s="93" t="s">
        <v>203</v>
      </c>
    </row>
    <row r="641" spans="1:5">
      <c r="A641" s="94" t="s">
        <v>267</v>
      </c>
      <c r="B641" s="95" t="s">
        <v>186</v>
      </c>
      <c r="C641" s="96">
        <v>1.2</v>
      </c>
      <c r="D641" s="97">
        <v>5200</v>
      </c>
      <c r="E641" s="98">
        <f>ROUND(C641*D641,0)</f>
        <v>6240</v>
      </c>
    </row>
    <row r="642" spans="1:5">
      <c r="A642" s="99"/>
      <c r="B642" s="101">
        <f>+E642/D652</f>
        <v>0.49919999999999998</v>
      </c>
      <c r="C642" s="98"/>
      <c r="D642" s="99" t="s">
        <v>209</v>
      </c>
      <c r="E642" s="100">
        <f>SUM(E641:E641)</f>
        <v>6240</v>
      </c>
    </row>
    <row r="643" spans="1:5">
      <c r="A643" s="92" t="s">
        <v>210</v>
      </c>
      <c r="B643" s="93" t="s">
        <v>164</v>
      </c>
      <c r="C643" s="93" t="s">
        <v>2</v>
      </c>
      <c r="D643" s="93" t="s">
        <v>202</v>
      </c>
      <c r="E643" s="93" t="s">
        <v>203</v>
      </c>
    </row>
    <row r="644" spans="1:5">
      <c r="A644" s="94" t="s">
        <v>250</v>
      </c>
      <c r="B644" s="95" t="s">
        <v>212</v>
      </c>
      <c r="C644" s="96">
        <v>3.2460999999999997E-2</v>
      </c>
      <c r="D644" s="97">
        <v>171670</v>
      </c>
      <c r="E644" s="98">
        <f>ROUND(C644*D644,0)</f>
        <v>5573</v>
      </c>
    </row>
    <row r="645" spans="1:5">
      <c r="A645" s="99"/>
      <c r="B645" s="101">
        <f>+E645/D652</f>
        <v>0.44584000000000001</v>
      </c>
      <c r="C645" s="98"/>
      <c r="D645" s="99" t="s">
        <v>209</v>
      </c>
      <c r="E645" s="100">
        <f>+E644</f>
        <v>5573</v>
      </c>
    </row>
    <row r="646" spans="1:5">
      <c r="A646" s="92" t="s">
        <v>218</v>
      </c>
      <c r="B646" s="93" t="s">
        <v>164</v>
      </c>
      <c r="C646" s="93" t="s">
        <v>2</v>
      </c>
      <c r="D646" s="93" t="s">
        <v>202</v>
      </c>
      <c r="E646" s="93" t="s">
        <v>203</v>
      </c>
    </row>
    <row r="647" spans="1:5">
      <c r="A647" s="94" t="s">
        <v>213</v>
      </c>
      <c r="B647" s="95" t="s">
        <v>214</v>
      </c>
      <c r="C647" s="96">
        <v>0.05</v>
      </c>
      <c r="D647" s="97">
        <f>+E642</f>
        <v>6240</v>
      </c>
      <c r="E647" s="98">
        <f>ROUND(C647*D647,0)</f>
        <v>312</v>
      </c>
    </row>
    <row r="648" spans="1:5">
      <c r="A648" s="99"/>
      <c r="B648" s="101">
        <f>+E648/D652</f>
        <v>2.496E-2</v>
      </c>
      <c r="C648" s="98"/>
      <c r="D648" s="99" t="s">
        <v>209</v>
      </c>
      <c r="E648" s="100">
        <f>SUM(E647:E647)</f>
        <v>312</v>
      </c>
    </row>
    <row r="649" spans="1:5">
      <c r="A649" s="92" t="s">
        <v>219</v>
      </c>
      <c r="B649" s="93" t="s">
        <v>164</v>
      </c>
      <c r="C649" s="93" t="s">
        <v>2</v>
      </c>
      <c r="D649" s="93" t="s">
        <v>202</v>
      </c>
      <c r="E649" s="93" t="s">
        <v>203</v>
      </c>
    </row>
    <row r="650" spans="1:5">
      <c r="A650" s="94" t="s">
        <v>217</v>
      </c>
      <c r="B650" s="95" t="s">
        <v>190</v>
      </c>
      <c r="C650" s="96">
        <v>5.0000000000000001E-3</v>
      </c>
      <c r="D650" s="97">
        <v>75000</v>
      </c>
      <c r="E650" s="98">
        <f>ROUND(C650*D650,0)</f>
        <v>375</v>
      </c>
    </row>
    <row r="651" spans="1:5">
      <c r="A651" s="99"/>
      <c r="B651" s="101">
        <f>+E651/D652</f>
        <v>0.03</v>
      </c>
      <c r="C651" s="98"/>
      <c r="D651" s="99" t="s">
        <v>209</v>
      </c>
      <c r="E651" s="100">
        <f>SUM(E650:E650)</f>
        <v>375</v>
      </c>
    </row>
    <row r="652" spans="1:5">
      <c r="A652" s="213" t="s">
        <v>215</v>
      </c>
      <c r="B652" s="213"/>
      <c r="C652" s="213"/>
      <c r="D652" s="214">
        <f>+E651+E648+E645+E642</f>
        <v>12500</v>
      </c>
      <c r="E652" s="214"/>
    </row>
    <row r="653" spans="1:5">
      <c r="A653" s="114"/>
      <c r="B653" s="114"/>
      <c r="C653" s="114"/>
      <c r="D653" s="115"/>
      <c r="E653" s="115"/>
    </row>
    <row r="654" spans="1:5" ht="20.25">
      <c r="A654" s="200" t="s">
        <v>216</v>
      </c>
      <c r="B654" s="201"/>
      <c r="C654" s="201"/>
      <c r="D654" s="201"/>
      <c r="E654" s="202"/>
    </row>
    <row r="655" spans="1:5">
      <c r="A655" s="203"/>
      <c r="B655" s="204"/>
      <c r="C655" s="218"/>
      <c r="D655" s="90" t="s">
        <v>199</v>
      </c>
      <c r="E655" s="90" t="s">
        <v>164</v>
      </c>
    </row>
    <row r="656" spans="1:5">
      <c r="A656" s="207"/>
      <c r="B656" s="208"/>
      <c r="C656" s="206"/>
      <c r="D656" s="91" t="s">
        <v>351</v>
      </c>
      <c r="E656" s="91" t="s">
        <v>186</v>
      </c>
    </row>
    <row r="657" spans="1:5" ht="15.75">
      <c r="A657" s="219" t="s">
        <v>200</v>
      </c>
      <c r="B657" s="220"/>
      <c r="C657" s="220"/>
      <c r="D657" s="220"/>
      <c r="E657" s="221"/>
    </row>
    <row r="658" spans="1:5" ht="98.25" customHeight="1">
      <c r="A658" s="210" t="s">
        <v>279</v>
      </c>
      <c r="B658" s="211"/>
      <c r="C658" s="211"/>
      <c r="D658" s="211"/>
      <c r="E658" s="212"/>
    </row>
    <row r="659" spans="1:5">
      <c r="A659" s="92" t="s">
        <v>201</v>
      </c>
      <c r="B659" s="93" t="s">
        <v>164</v>
      </c>
      <c r="C659" s="93" t="s">
        <v>2</v>
      </c>
      <c r="D659" s="93" t="s">
        <v>202</v>
      </c>
      <c r="E659" s="93" t="s">
        <v>203</v>
      </c>
    </row>
    <row r="660" spans="1:5" ht="25.5">
      <c r="A660" s="173" t="s">
        <v>377</v>
      </c>
      <c r="B660" s="95" t="s">
        <v>186</v>
      </c>
      <c r="C660" s="96">
        <v>1</v>
      </c>
      <c r="D660" s="97">
        <v>60000</v>
      </c>
      <c r="E660" s="98">
        <f>ROUND(C660*D660,0)</f>
        <v>60000</v>
      </c>
    </row>
    <row r="661" spans="1:5" ht="25.5">
      <c r="A661" s="173" t="s">
        <v>378</v>
      </c>
      <c r="B661" s="95" t="s">
        <v>188</v>
      </c>
      <c r="C661" s="96">
        <v>7.0000000000000007E-2</v>
      </c>
      <c r="D661" s="97">
        <v>348249</v>
      </c>
      <c r="E661" s="98">
        <f t="shared" ref="E661:E666" si="28">ROUND(C661*D661,0)</f>
        <v>24377</v>
      </c>
    </row>
    <row r="662" spans="1:5">
      <c r="A662" s="173" t="s">
        <v>379</v>
      </c>
      <c r="B662" s="95" t="s">
        <v>190</v>
      </c>
      <c r="C662" s="96">
        <v>3</v>
      </c>
      <c r="D662" s="97">
        <v>2125</v>
      </c>
      <c r="E662" s="98">
        <f t="shared" si="28"/>
        <v>6375</v>
      </c>
    </row>
    <row r="663" spans="1:5">
      <c r="A663" s="173" t="s">
        <v>380</v>
      </c>
      <c r="B663" s="95" t="s">
        <v>186</v>
      </c>
      <c r="C663" s="96">
        <v>1</v>
      </c>
      <c r="D663" s="97">
        <v>1736</v>
      </c>
      <c r="E663" s="98">
        <f t="shared" si="28"/>
        <v>1736</v>
      </c>
    </row>
    <row r="664" spans="1:5">
      <c r="A664" s="173" t="s">
        <v>381</v>
      </c>
      <c r="B664" s="95" t="s">
        <v>184</v>
      </c>
      <c r="C664" s="96">
        <v>3</v>
      </c>
      <c r="D664" s="97">
        <v>3479</v>
      </c>
      <c r="E664" s="98">
        <f t="shared" si="28"/>
        <v>10437</v>
      </c>
    </row>
    <row r="665" spans="1:5">
      <c r="A665" s="94" t="s">
        <v>382</v>
      </c>
      <c r="B665" s="95" t="s">
        <v>383</v>
      </c>
      <c r="C665" s="96">
        <v>0.05</v>
      </c>
      <c r="D665" s="97">
        <v>66742</v>
      </c>
      <c r="E665" s="98">
        <f t="shared" si="28"/>
        <v>3337</v>
      </c>
    </row>
    <row r="666" spans="1:5" ht="25.5">
      <c r="A666" s="173" t="s">
        <v>384</v>
      </c>
      <c r="B666" s="95" t="s">
        <v>185</v>
      </c>
      <c r="C666" s="96">
        <v>0.03</v>
      </c>
      <c r="D666" s="97">
        <v>114737</v>
      </c>
      <c r="E666" s="98">
        <f t="shared" si="28"/>
        <v>3442</v>
      </c>
    </row>
    <row r="667" spans="1:5">
      <c r="A667" s="99"/>
      <c r="B667" s="101">
        <f>+E667/D677</f>
        <v>0.70776774193548386</v>
      </c>
      <c r="C667" s="98"/>
      <c r="D667" s="99" t="s">
        <v>209</v>
      </c>
      <c r="E667" s="100">
        <f>SUM(E660:E666)</f>
        <v>109704</v>
      </c>
    </row>
    <row r="668" spans="1:5">
      <c r="A668" s="92" t="s">
        <v>210</v>
      </c>
      <c r="B668" s="93" t="s">
        <v>164</v>
      </c>
      <c r="C668" s="93" t="s">
        <v>2</v>
      </c>
      <c r="D668" s="93" t="s">
        <v>202</v>
      </c>
      <c r="E668" s="93" t="s">
        <v>203</v>
      </c>
    </row>
    <row r="669" spans="1:5">
      <c r="A669" s="94" t="s">
        <v>266</v>
      </c>
      <c r="B669" s="95" t="s">
        <v>212</v>
      </c>
      <c r="C669" s="96">
        <v>0.22753699999999999</v>
      </c>
      <c r="D669" s="97">
        <v>171670</v>
      </c>
      <c r="E669" s="98">
        <f>ROUND(C669*D669,0)</f>
        <v>39061</v>
      </c>
    </row>
    <row r="670" spans="1:5">
      <c r="A670" s="99"/>
      <c r="B670" s="101">
        <f>+E670/D677</f>
        <v>0.25200645161290325</v>
      </c>
      <c r="C670" s="98"/>
      <c r="D670" s="99" t="s">
        <v>209</v>
      </c>
      <c r="E670" s="100">
        <f>+E669</f>
        <v>39061</v>
      </c>
    </row>
    <row r="671" spans="1:5">
      <c r="A671" s="92" t="s">
        <v>218</v>
      </c>
      <c r="B671" s="93" t="s">
        <v>164</v>
      </c>
      <c r="C671" s="93" t="s">
        <v>2</v>
      </c>
      <c r="D671" s="93" t="s">
        <v>202</v>
      </c>
      <c r="E671" s="93" t="s">
        <v>203</v>
      </c>
    </row>
    <row r="672" spans="1:5">
      <c r="A672" s="94" t="s">
        <v>213</v>
      </c>
      <c r="B672" s="95" t="s">
        <v>214</v>
      </c>
      <c r="C672" s="96">
        <v>0.05</v>
      </c>
      <c r="D672" s="97">
        <f>+E667</f>
        <v>109704</v>
      </c>
      <c r="E672" s="98">
        <f>ROUND(C672*D672,0)</f>
        <v>5485</v>
      </c>
    </row>
    <row r="673" spans="1:5">
      <c r="A673" s="99"/>
      <c r="B673" s="101">
        <f>+E673/D677</f>
        <v>3.5387096774193549E-2</v>
      </c>
      <c r="C673" s="98"/>
      <c r="D673" s="99" t="s">
        <v>209</v>
      </c>
      <c r="E673" s="100">
        <f>SUM(E672:E672)</f>
        <v>5485</v>
      </c>
    </row>
    <row r="674" spans="1:5">
      <c r="A674" s="92" t="s">
        <v>219</v>
      </c>
      <c r="B674" s="93" t="s">
        <v>164</v>
      </c>
      <c r="C674" s="93" t="s">
        <v>2</v>
      </c>
      <c r="D674" s="93" t="s">
        <v>202</v>
      </c>
      <c r="E674" s="93" t="s">
        <v>203</v>
      </c>
    </row>
    <row r="675" spans="1:5">
      <c r="A675" s="94" t="s">
        <v>217</v>
      </c>
      <c r="B675" s="95" t="s">
        <v>190</v>
      </c>
      <c r="C675" s="96">
        <v>0.01</v>
      </c>
      <c r="D675" s="97">
        <v>75000</v>
      </c>
      <c r="E675" s="98">
        <f>ROUND(C675*D675,0)</f>
        <v>750</v>
      </c>
    </row>
    <row r="676" spans="1:5">
      <c r="A676" s="99"/>
      <c r="B676" s="101">
        <f>+E676/D677</f>
        <v>4.8387096774193551E-3</v>
      </c>
      <c r="C676" s="98"/>
      <c r="D676" s="99" t="s">
        <v>209</v>
      </c>
      <c r="E676" s="100">
        <f>SUM(E675:E675)</f>
        <v>750</v>
      </c>
    </row>
    <row r="677" spans="1:5">
      <c r="A677" s="213" t="s">
        <v>215</v>
      </c>
      <c r="B677" s="213"/>
      <c r="C677" s="213"/>
      <c r="D677" s="214">
        <f>+E676+E673+E670+E667</f>
        <v>155000</v>
      </c>
      <c r="E677" s="214"/>
    </row>
    <row r="678" spans="1:5">
      <c r="A678" s="114"/>
      <c r="B678" s="114"/>
      <c r="C678" s="114"/>
      <c r="D678" s="115"/>
      <c r="E678" s="115"/>
    </row>
    <row r="679" spans="1:5" ht="20.25">
      <c r="A679" s="200" t="s">
        <v>216</v>
      </c>
      <c r="B679" s="201"/>
      <c r="C679" s="201"/>
      <c r="D679" s="201"/>
      <c r="E679" s="202"/>
    </row>
    <row r="680" spans="1:5">
      <c r="A680" s="203"/>
      <c r="B680" s="204"/>
      <c r="C680" s="218"/>
      <c r="D680" s="90" t="s">
        <v>199</v>
      </c>
      <c r="E680" s="90" t="s">
        <v>164</v>
      </c>
    </row>
    <row r="681" spans="1:5">
      <c r="A681" s="207"/>
      <c r="B681" s="208"/>
      <c r="C681" s="206"/>
      <c r="D681" s="91" t="s">
        <v>352</v>
      </c>
      <c r="E681" s="91" t="s">
        <v>189</v>
      </c>
    </row>
    <row r="682" spans="1:5" ht="15.75">
      <c r="A682" s="219" t="s">
        <v>200</v>
      </c>
      <c r="B682" s="220"/>
      <c r="C682" s="220"/>
      <c r="D682" s="220"/>
      <c r="E682" s="221"/>
    </row>
    <row r="683" spans="1:5" ht="74.25" customHeight="1">
      <c r="A683" s="210" t="s">
        <v>278</v>
      </c>
      <c r="B683" s="211"/>
      <c r="C683" s="211"/>
      <c r="D683" s="211"/>
      <c r="E683" s="212"/>
    </row>
    <row r="684" spans="1:5">
      <c r="A684" s="92" t="s">
        <v>201</v>
      </c>
      <c r="B684" s="93" t="s">
        <v>164</v>
      </c>
      <c r="C684" s="93" t="s">
        <v>2</v>
      </c>
      <c r="D684" s="93" t="s">
        <v>202</v>
      </c>
      <c r="E684" s="93" t="s">
        <v>203</v>
      </c>
    </row>
    <row r="685" spans="1:5">
      <c r="A685" s="94" t="s">
        <v>385</v>
      </c>
      <c r="B685" s="95" t="s">
        <v>188</v>
      </c>
      <c r="C685" s="96">
        <v>0.02</v>
      </c>
      <c r="D685" s="97">
        <v>347373</v>
      </c>
      <c r="E685" s="98">
        <f>ROUND(C685*D685,0)</f>
        <v>6947</v>
      </c>
    </row>
    <row r="686" spans="1:5">
      <c r="A686" s="94" t="s">
        <v>386</v>
      </c>
      <c r="B686" s="95" t="s">
        <v>184</v>
      </c>
      <c r="C686" s="96">
        <v>2</v>
      </c>
      <c r="D686" s="97">
        <v>3000</v>
      </c>
      <c r="E686" s="98">
        <f t="shared" ref="E686:E690" si="29">ROUND(C686*D686,0)</f>
        <v>6000</v>
      </c>
    </row>
    <row r="687" spans="1:5">
      <c r="A687" s="94" t="s">
        <v>387</v>
      </c>
      <c r="B687" s="95" t="s">
        <v>185</v>
      </c>
      <c r="C687" s="96">
        <v>1</v>
      </c>
      <c r="D687" s="97">
        <v>3000</v>
      </c>
      <c r="E687" s="98">
        <f t="shared" si="29"/>
        <v>3000</v>
      </c>
    </row>
    <row r="688" spans="1:5">
      <c r="A688" s="94" t="s">
        <v>388</v>
      </c>
      <c r="B688" s="95" t="s">
        <v>389</v>
      </c>
      <c r="C688" s="96">
        <v>0.1</v>
      </c>
      <c r="D688" s="97">
        <v>47750</v>
      </c>
      <c r="E688" s="98">
        <f t="shared" si="29"/>
        <v>4775</v>
      </c>
    </row>
    <row r="689" spans="1:5">
      <c r="A689" s="94" t="s">
        <v>390</v>
      </c>
      <c r="B689" s="95" t="s">
        <v>190</v>
      </c>
      <c r="C689" s="96">
        <v>2</v>
      </c>
      <c r="D689" s="97">
        <v>10000</v>
      </c>
      <c r="E689" s="98">
        <f t="shared" si="29"/>
        <v>20000</v>
      </c>
    </row>
    <row r="690" spans="1:5">
      <c r="A690" s="94" t="s">
        <v>382</v>
      </c>
      <c r="B690" s="95" t="s">
        <v>383</v>
      </c>
      <c r="C690" s="96">
        <v>0.05</v>
      </c>
      <c r="D690" s="97">
        <v>66742</v>
      </c>
      <c r="E690" s="98">
        <f t="shared" si="29"/>
        <v>3337</v>
      </c>
    </row>
    <row r="691" spans="1:5">
      <c r="A691" s="99"/>
      <c r="B691" s="101">
        <f>+E691/D701</f>
        <v>0.48954444444444445</v>
      </c>
      <c r="C691" s="98"/>
      <c r="D691" s="99" t="s">
        <v>209</v>
      </c>
      <c r="E691" s="100">
        <f>SUM(E685:E690)</f>
        <v>44059</v>
      </c>
    </row>
    <row r="692" spans="1:5">
      <c r="A692" s="92" t="s">
        <v>210</v>
      </c>
      <c r="B692" s="93" t="s">
        <v>164</v>
      </c>
      <c r="C692" s="93" t="s">
        <v>2</v>
      </c>
      <c r="D692" s="93" t="s">
        <v>202</v>
      </c>
      <c r="E692" s="93" t="s">
        <v>203</v>
      </c>
    </row>
    <row r="693" spans="1:5">
      <c r="A693" s="94" t="s">
        <v>266</v>
      </c>
      <c r="B693" s="95" t="s">
        <v>212</v>
      </c>
      <c r="C693" s="96">
        <v>0.25041000000000002</v>
      </c>
      <c r="D693" s="97">
        <v>171670</v>
      </c>
      <c r="E693" s="98">
        <f>ROUND(C693*D693,0)</f>
        <v>42988</v>
      </c>
    </row>
    <row r="694" spans="1:5">
      <c r="A694" s="99"/>
      <c r="B694" s="101">
        <f>+E694/D701</f>
        <v>0.47764444444444443</v>
      </c>
      <c r="C694" s="98"/>
      <c r="D694" s="99" t="s">
        <v>209</v>
      </c>
      <c r="E694" s="100">
        <f>+E693</f>
        <v>42988</v>
      </c>
    </row>
    <row r="695" spans="1:5">
      <c r="A695" s="92" t="s">
        <v>218</v>
      </c>
      <c r="B695" s="93" t="s">
        <v>164</v>
      </c>
      <c r="C695" s="93" t="s">
        <v>2</v>
      </c>
      <c r="D695" s="93" t="s">
        <v>202</v>
      </c>
      <c r="E695" s="93" t="s">
        <v>203</v>
      </c>
    </row>
    <row r="696" spans="1:5">
      <c r="A696" s="94" t="s">
        <v>213</v>
      </c>
      <c r="B696" s="95" t="s">
        <v>214</v>
      </c>
      <c r="C696" s="96">
        <v>0.05</v>
      </c>
      <c r="D696" s="97">
        <f>+E691</f>
        <v>44059</v>
      </c>
      <c r="E696" s="98">
        <f>ROUND(C696*D696,0)</f>
        <v>2203</v>
      </c>
    </row>
    <row r="697" spans="1:5">
      <c r="A697" s="99"/>
      <c r="B697" s="101">
        <f>+E697/D701</f>
        <v>2.4477777777777779E-2</v>
      </c>
      <c r="C697" s="98"/>
      <c r="D697" s="99" t="s">
        <v>209</v>
      </c>
      <c r="E697" s="100">
        <f>SUM(E696:E696)</f>
        <v>2203</v>
      </c>
    </row>
    <row r="698" spans="1:5">
      <c r="A698" s="92" t="s">
        <v>219</v>
      </c>
      <c r="B698" s="93" t="s">
        <v>164</v>
      </c>
      <c r="C698" s="93" t="s">
        <v>2</v>
      </c>
      <c r="D698" s="93" t="s">
        <v>202</v>
      </c>
      <c r="E698" s="93" t="s">
        <v>203</v>
      </c>
    </row>
    <row r="699" spans="1:5">
      <c r="A699" s="94" t="s">
        <v>217</v>
      </c>
      <c r="B699" s="95" t="s">
        <v>190</v>
      </c>
      <c r="C699" s="96">
        <v>0.01</v>
      </c>
      <c r="D699" s="97">
        <v>75000</v>
      </c>
      <c r="E699" s="98">
        <f>ROUND(C699*D699,0)</f>
        <v>750</v>
      </c>
    </row>
    <row r="700" spans="1:5">
      <c r="A700" s="99"/>
      <c r="B700" s="101">
        <f>+E700/D701</f>
        <v>8.3333333333333332E-3</v>
      </c>
      <c r="C700" s="98"/>
      <c r="D700" s="99" t="s">
        <v>209</v>
      </c>
      <c r="E700" s="100">
        <f>SUM(E699:E699)</f>
        <v>750</v>
      </c>
    </row>
    <row r="701" spans="1:5">
      <c r="A701" s="213" t="s">
        <v>215</v>
      </c>
      <c r="B701" s="213"/>
      <c r="C701" s="213"/>
      <c r="D701" s="214">
        <f>+E700+E697+E694+E691</f>
        <v>90000</v>
      </c>
      <c r="E701" s="214"/>
    </row>
    <row r="702" spans="1:5">
      <c r="A702" s="114"/>
      <c r="B702" s="114"/>
      <c r="C702" s="114"/>
      <c r="D702" s="115"/>
      <c r="E702" s="115"/>
    </row>
    <row r="703" spans="1:5" ht="20.25">
      <c r="A703" s="200" t="s">
        <v>216</v>
      </c>
      <c r="B703" s="201"/>
      <c r="C703" s="201"/>
      <c r="D703" s="201"/>
      <c r="E703" s="202"/>
    </row>
    <row r="704" spans="1:5">
      <c r="A704" s="203"/>
      <c r="B704" s="204"/>
      <c r="C704" s="218"/>
      <c r="D704" s="90" t="s">
        <v>199</v>
      </c>
      <c r="E704" s="90" t="s">
        <v>164</v>
      </c>
    </row>
    <row r="705" spans="1:5">
      <c r="A705" s="207"/>
      <c r="B705" s="208"/>
      <c r="C705" s="206"/>
      <c r="D705" s="91" t="s">
        <v>352</v>
      </c>
      <c r="E705" s="91" t="s">
        <v>189</v>
      </c>
    </row>
    <row r="706" spans="1:5" ht="15.75">
      <c r="A706" s="219" t="s">
        <v>200</v>
      </c>
      <c r="B706" s="220"/>
      <c r="C706" s="220"/>
      <c r="D706" s="220"/>
      <c r="E706" s="221"/>
    </row>
    <row r="707" spans="1:5" ht="56.25" customHeight="1">
      <c r="A707" s="210" t="s">
        <v>641</v>
      </c>
      <c r="B707" s="211"/>
      <c r="C707" s="211"/>
      <c r="D707" s="211"/>
      <c r="E707" s="212"/>
    </row>
    <row r="708" spans="1:5">
      <c r="A708" s="92" t="s">
        <v>201</v>
      </c>
      <c r="B708" s="93" t="s">
        <v>164</v>
      </c>
      <c r="C708" s="93" t="s">
        <v>2</v>
      </c>
      <c r="D708" s="93" t="s">
        <v>202</v>
      </c>
      <c r="E708" s="93" t="s">
        <v>203</v>
      </c>
    </row>
    <row r="709" spans="1:5">
      <c r="A709" s="94" t="s">
        <v>385</v>
      </c>
      <c r="B709" s="95" t="s">
        <v>188</v>
      </c>
      <c r="C709" s="96">
        <v>0.03</v>
      </c>
      <c r="D709" s="97">
        <v>347373</v>
      </c>
      <c r="E709" s="98">
        <f>ROUND(C709*D709,0)</f>
        <v>10421</v>
      </c>
    </row>
    <row r="710" spans="1:5">
      <c r="A710" s="94" t="s">
        <v>386</v>
      </c>
      <c r="B710" s="95" t="s">
        <v>184</v>
      </c>
      <c r="C710" s="96">
        <v>2</v>
      </c>
      <c r="D710" s="97">
        <v>3000</v>
      </c>
      <c r="E710" s="98">
        <f t="shared" ref="E710:E713" si="30">ROUND(C710*D710,0)</f>
        <v>6000</v>
      </c>
    </row>
    <row r="711" spans="1:5">
      <c r="A711" s="94" t="s">
        <v>388</v>
      </c>
      <c r="B711" s="95" t="s">
        <v>389</v>
      </c>
      <c r="C711" s="96">
        <v>0.1</v>
      </c>
      <c r="D711" s="97">
        <v>47750</v>
      </c>
      <c r="E711" s="98">
        <f t="shared" si="30"/>
        <v>4775</v>
      </c>
    </row>
    <row r="712" spans="1:5">
      <c r="A712" s="94" t="s">
        <v>390</v>
      </c>
      <c r="B712" s="95" t="s">
        <v>190</v>
      </c>
      <c r="C712" s="96">
        <v>2</v>
      </c>
      <c r="D712" s="97">
        <v>10000</v>
      </c>
      <c r="E712" s="98">
        <f t="shared" si="30"/>
        <v>20000</v>
      </c>
    </row>
    <row r="713" spans="1:5">
      <c r="A713" s="94" t="s">
        <v>382</v>
      </c>
      <c r="B713" s="95" t="s">
        <v>383</v>
      </c>
      <c r="C713" s="96">
        <v>0.05</v>
      </c>
      <c r="D713" s="97">
        <v>66742</v>
      </c>
      <c r="E713" s="98">
        <f t="shared" si="30"/>
        <v>3337</v>
      </c>
    </row>
    <row r="714" spans="1:5">
      <c r="A714" s="99"/>
      <c r="B714" s="101">
        <f>+E714/D724</f>
        <v>0.60589115646258507</v>
      </c>
      <c r="C714" s="98"/>
      <c r="D714" s="99" t="s">
        <v>209</v>
      </c>
      <c r="E714" s="100">
        <f>SUM(E709:E713)</f>
        <v>44533</v>
      </c>
    </row>
    <row r="715" spans="1:5">
      <c r="A715" s="92" t="s">
        <v>210</v>
      </c>
      <c r="B715" s="93" t="s">
        <v>164</v>
      </c>
      <c r="C715" s="93" t="s">
        <v>2</v>
      </c>
      <c r="D715" s="93" t="s">
        <v>202</v>
      </c>
      <c r="E715" s="93" t="s">
        <v>203</v>
      </c>
    </row>
    <row r="716" spans="1:5">
      <c r="A716" s="94" t="s">
        <v>266</v>
      </c>
      <c r="B716" s="95" t="s">
        <v>212</v>
      </c>
      <c r="C716" s="96">
        <v>0.151395</v>
      </c>
      <c r="D716" s="97">
        <v>171670</v>
      </c>
      <c r="E716" s="98">
        <f>ROUND(C716*D716,0)</f>
        <v>25990</v>
      </c>
    </row>
    <row r="717" spans="1:5">
      <c r="A717" s="99"/>
      <c r="B717" s="101">
        <f>+E717/D724</f>
        <v>0.35360544217687073</v>
      </c>
      <c r="C717" s="98"/>
      <c r="D717" s="99" t="s">
        <v>209</v>
      </c>
      <c r="E717" s="100">
        <f>+E716</f>
        <v>25990</v>
      </c>
    </row>
    <row r="718" spans="1:5">
      <c r="A718" s="92" t="s">
        <v>218</v>
      </c>
      <c r="B718" s="93" t="s">
        <v>164</v>
      </c>
      <c r="C718" s="93" t="s">
        <v>2</v>
      </c>
      <c r="D718" s="93" t="s">
        <v>202</v>
      </c>
      <c r="E718" s="93" t="s">
        <v>203</v>
      </c>
    </row>
    <row r="719" spans="1:5">
      <c r="A719" s="94" t="s">
        <v>213</v>
      </c>
      <c r="B719" s="95" t="s">
        <v>214</v>
      </c>
      <c r="C719" s="96">
        <v>0.05</v>
      </c>
      <c r="D719" s="97">
        <f>+E714</f>
        <v>44533</v>
      </c>
      <c r="E719" s="98">
        <f>ROUND(C719*D719,0)</f>
        <v>2227</v>
      </c>
    </row>
    <row r="720" spans="1:5">
      <c r="A720" s="99"/>
      <c r="B720" s="101">
        <f>+E720/D724</f>
        <v>3.0299319727891155E-2</v>
      </c>
      <c r="C720" s="98"/>
      <c r="D720" s="99" t="s">
        <v>209</v>
      </c>
      <c r="E720" s="100">
        <f>SUM(E719:E719)</f>
        <v>2227</v>
      </c>
    </row>
    <row r="721" spans="1:5">
      <c r="A721" s="92" t="s">
        <v>219</v>
      </c>
      <c r="B721" s="93" t="s">
        <v>164</v>
      </c>
      <c r="C721" s="93" t="s">
        <v>2</v>
      </c>
      <c r="D721" s="93" t="s">
        <v>202</v>
      </c>
      <c r="E721" s="93" t="s">
        <v>203</v>
      </c>
    </row>
    <row r="722" spans="1:5">
      <c r="A722" s="94" t="s">
        <v>217</v>
      </c>
      <c r="B722" s="95" t="s">
        <v>190</v>
      </c>
      <c r="C722" s="96">
        <v>0.01</v>
      </c>
      <c r="D722" s="97">
        <v>75000</v>
      </c>
      <c r="E722" s="98">
        <f>ROUND(C722*D722,0)</f>
        <v>750</v>
      </c>
    </row>
    <row r="723" spans="1:5">
      <c r="A723" s="99"/>
      <c r="B723" s="101">
        <f>+E723/D724</f>
        <v>1.020408163265306E-2</v>
      </c>
      <c r="C723" s="98"/>
      <c r="D723" s="99" t="s">
        <v>209</v>
      </c>
      <c r="E723" s="100">
        <f>SUM(E722:E722)</f>
        <v>750</v>
      </c>
    </row>
    <row r="724" spans="1:5">
      <c r="A724" s="213" t="s">
        <v>215</v>
      </c>
      <c r="B724" s="213"/>
      <c r="C724" s="213"/>
      <c r="D724" s="214">
        <f>+E723+E720+E717+E714</f>
        <v>73500</v>
      </c>
      <c r="E724" s="214"/>
    </row>
    <row r="725" spans="1:5">
      <c r="A725" s="114"/>
      <c r="B725" s="114"/>
      <c r="C725" s="114"/>
      <c r="D725" s="115"/>
      <c r="E725" s="115"/>
    </row>
    <row r="726" spans="1:5" ht="20.25">
      <c r="A726" s="200" t="s">
        <v>216</v>
      </c>
      <c r="B726" s="201"/>
      <c r="C726" s="201"/>
      <c r="D726" s="201"/>
      <c r="E726" s="202"/>
    </row>
    <row r="727" spans="1:5">
      <c r="A727" s="203"/>
      <c r="B727" s="204"/>
      <c r="C727" s="218"/>
      <c r="D727" s="90" t="s">
        <v>199</v>
      </c>
      <c r="E727" s="90" t="s">
        <v>164</v>
      </c>
    </row>
    <row r="728" spans="1:5">
      <c r="A728" s="207"/>
      <c r="B728" s="208"/>
      <c r="C728" s="206"/>
      <c r="D728" s="91" t="s">
        <v>353</v>
      </c>
      <c r="E728" s="91" t="s">
        <v>186</v>
      </c>
    </row>
    <row r="729" spans="1:5" ht="15.75">
      <c r="A729" s="219" t="s">
        <v>200</v>
      </c>
      <c r="B729" s="220"/>
      <c r="C729" s="220"/>
      <c r="D729" s="220"/>
      <c r="E729" s="221"/>
    </row>
    <row r="730" spans="1:5" ht="63" customHeight="1">
      <c r="A730" s="210" t="s">
        <v>280</v>
      </c>
      <c r="B730" s="211"/>
      <c r="C730" s="211"/>
      <c r="D730" s="211"/>
      <c r="E730" s="212"/>
    </row>
    <row r="731" spans="1:5">
      <c r="A731" s="92" t="s">
        <v>201</v>
      </c>
      <c r="B731" s="93" t="s">
        <v>164</v>
      </c>
      <c r="C731" s="93" t="s">
        <v>2</v>
      </c>
      <c r="D731" s="93" t="s">
        <v>202</v>
      </c>
      <c r="E731" s="93" t="s">
        <v>203</v>
      </c>
    </row>
    <row r="732" spans="1:5">
      <c r="A732" s="94" t="s">
        <v>393</v>
      </c>
      <c r="B732" s="95" t="s">
        <v>186</v>
      </c>
      <c r="C732" s="96">
        <v>1</v>
      </c>
      <c r="D732" s="97">
        <v>39500</v>
      </c>
      <c r="E732" s="98">
        <f>ROUND(C732*D732,0)</f>
        <v>39500</v>
      </c>
    </row>
    <row r="733" spans="1:5">
      <c r="A733" s="94" t="s">
        <v>392</v>
      </c>
      <c r="B733" s="95" t="s">
        <v>190</v>
      </c>
      <c r="C733" s="96">
        <v>0.55000000000000004</v>
      </c>
      <c r="D733" s="97">
        <v>6676</v>
      </c>
      <c r="E733" s="98">
        <f t="shared" ref="E733:E735" si="31">ROUND(C733*D733,0)</f>
        <v>3672</v>
      </c>
    </row>
    <row r="734" spans="1:5">
      <c r="A734" s="94" t="s">
        <v>391</v>
      </c>
      <c r="B734" s="95" t="s">
        <v>190</v>
      </c>
      <c r="C734" s="96">
        <v>6.5</v>
      </c>
      <c r="D734" s="97">
        <v>1859</v>
      </c>
      <c r="E734" s="98">
        <f t="shared" si="31"/>
        <v>12084</v>
      </c>
    </row>
    <row r="735" spans="1:5">
      <c r="A735" s="94" t="s">
        <v>264</v>
      </c>
      <c r="B735" s="95" t="s">
        <v>190</v>
      </c>
      <c r="C735" s="96">
        <v>0.1</v>
      </c>
      <c r="D735" s="97">
        <v>15800</v>
      </c>
      <c r="E735" s="98">
        <f t="shared" si="31"/>
        <v>1580</v>
      </c>
    </row>
    <row r="736" spans="1:5">
      <c r="A736" s="99"/>
      <c r="B736" s="101">
        <f>+E736/D746</f>
        <v>0.63151111111111113</v>
      </c>
      <c r="C736" s="98"/>
      <c r="D736" s="99" t="s">
        <v>209</v>
      </c>
      <c r="E736" s="100">
        <f>SUM(E732:E735)</f>
        <v>56836</v>
      </c>
    </row>
    <row r="737" spans="1:5">
      <c r="A737" s="92" t="s">
        <v>210</v>
      </c>
      <c r="B737" s="93" t="s">
        <v>164</v>
      </c>
      <c r="C737" s="93" t="s">
        <v>2</v>
      </c>
      <c r="D737" s="93" t="s">
        <v>202</v>
      </c>
      <c r="E737" s="93" t="s">
        <v>203</v>
      </c>
    </row>
    <row r="738" spans="1:5">
      <c r="A738" s="94" t="s">
        <v>266</v>
      </c>
      <c r="B738" s="95" t="s">
        <v>212</v>
      </c>
      <c r="C738" s="96">
        <v>0.17225799999999999</v>
      </c>
      <c r="D738" s="97">
        <v>171670</v>
      </c>
      <c r="E738" s="98">
        <f>ROUND(C738*D738,0)</f>
        <v>29572</v>
      </c>
    </row>
    <row r="739" spans="1:5">
      <c r="A739" s="99"/>
      <c r="B739" s="101">
        <f>+E739/D746</f>
        <v>0.3285777777777778</v>
      </c>
      <c r="C739" s="98"/>
      <c r="D739" s="99" t="s">
        <v>209</v>
      </c>
      <c r="E739" s="100">
        <f>+E738</f>
        <v>29572</v>
      </c>
    </row>
    <row r="740" spans="1:5">
      <c r="A740" s="92" t="s">
        <v>218</v>
      </c>
      <c r="B740" s="93" t="s">
        <v>164</v>
      </c>
      <c r="C740" s="93" t="s">
        <v>2</v>
      </c>
      <c r="D740" s="93" t="s">
        <v>202</v>
      </c>
      <c r="E740" s="93" t="s">
        <v>203</v>
      </c>
    </row>
    <row r="741" spans="1:5">
      <c r="A741" s="94" t="s">
        <v>213</v>
      </c>
      <c r="B741" s="95" t="s">
        <v>214</v>
      </c>
      <c r="C741" s="96">
        <v>0.05</v>
      </c>
      <c r="D741" s="97">
        <f>+E736</f>
        <v>56836</v>
      </c>
      <c r="E741" s="98">
        <f>ROUND(C741*D741,0)</f>
        <v>2842</v>
      </c>
    </row>
    <row r="742" spans="1:5">
      <c r="A742" s="99"/>
      <c r="B742" s="101">
        <f>+E742/D746</f>
        <v>3.1577777777777781E-2</v>
      </c>
      <c r="C742" s="98"/>
      <c r="D742" s="99" t="s">
        <v>209</v>
      </c>
      <c r="E742" s="100">
        <f>SUM(E741:E741)</f>
        <v>2842</v>
      </c>
    </row>
    <row r="743" spans="1:5">
      <c r="A743" s="92" t="s">
        <v>219</v>
      </c>
      <c r="B743" s="93" t="s">
        <v>164</v>
      </c>
      <c r="C743" s="93" t="s">
        <v>2</v>
      </c>
      <c r="D743" s="93" t="s">
        <v>202</v>
      </c>
      <c r="E743" s="93" t="s">
        <v>203</v>
      </c>
    </row>
    <row r="744" spans="1:5">
      <c r="A744" s="94" t="s">
        <v>217</v>
      </c>
      <c r="B744" s="95" t="s">
        <v>190</v>
      </c>
      <c r="C744" s="96">
        <v>0.01</v>
      </c>
      <c r="D744" s="97">
        <v>75000</v>
      </c>
      <c r="E744" s="98">
        <f>ROUND(C744*D744,0)</f>
        <v>750</v>
      </c>
    </row>
    <row r="745" spans="1:5">
      <c r="A745" s="99"/>
      <c r="B745" s="101">
        <f>+E745/D746</f>
        <v>8.3333333333333332E-3</v>
      </c>
      <c r="C745" s="98"/>
      <c r="D745" s="99" t="s">
        <v>209</v>
      </c>
      <c r="E745" s="100">
        <f>SUM(E744:E744)</f>
        <v>750</v>
      </c>
    </row>
    <row r="746" spans="1:5">
      <c r="A746" s="213" t="s">
        <v>215</v>
      </c>
      <c r="B746" s="213"/>
      <c r="C746" s="213"/>
      <c r="D746" s="214">
        <f>+E745+E742+E739+E736</f>
        <v>90000</v>
      </c>
      <c r="E746" s="214"/>
    </row>
    <row r="747" spans="1:5">
      <c r="A747" s="114"/>
      <c r="B747" s="114"/>
      <c r="C747" s="114"/>
      <c r="D747" s="115"/>
      <c r="E747" s="115"/>
    </row>
    <row r="748" spans="1:5" ht="20.25">
      <c r="A748" s="200" t="s">
        <v>216</v>
      </c>
      <c r="B748" s="201"/>
      <c r="C748" s="201"/>
      <c r="D748" s="201"/>
      <c r="E748" s="202"/>
    </row>
    <row r="749" spans="1:5">
      <c r="A749" s="203"/>
      <c r="B749" s="204"/>
      <c r="C749" s="218"/>
      <c r="D749" s="90" t="s">
        <v>199</v>
      </c>
      <c r="E749" s="90" t="s">
        <v>164</v>
      </c>
    </row>
    <row r="750" spans="1:5">
      <c r="A750" s="207"/>
      <c r="B750" s="208"/>
      <c r="C750" s="206"/>
      <c r="D750" s="91" t="s">
        <v>354</v>
      </c>
      <c r="E750" s="91" t="s">
        <v>189</v>
      </c>
    </row>
    <row r="751" spans="1:5" ht="15.75">
      <c r="A751" s="219" t="s">
        <v>200</v>
      </c>
      <c r="B751" s="220"/>
      <c r="C751" s="220"/>
      <c r="D751" s="220"/>
      <c r="E751" s="221"/>
    </row>
    <row r="752" spans="1:5" ht="24" customHeight="1">
      <c r="A752" s="230" t="s">
        <v>637</v>
      </c>
      <c r="B752" s="231"/>
      <c r="C752" s="231"/>
      <c r="D752" s="231"/>
      <c r="E752" s="232"/>
    </row>
    <row r="753" spans="1:5">
      <c r="A753" s="92" t="s">
        <v>201</v>
      </c>
      <c r="B753" s="93" t="s">
        <v>164</v>
      </c>
      <c r="C753" s="93" t="s">
        <v>2</v>
      </c>
      <c r="D753" s="93" t="s">
        <v>202</v>
      </c>
      <c r="E753" s="93" t="s">
        <v>203</v>
      </c>
    </row>
    <row r="754" spans="1:5">
      <c r="A754" s="168" t="s">
        <v>394</v>
      </c>
      <c r="B754" s="169" t="s">
        <v>189</v>
      </c>
      <c r="C754" s="170">
        <v>1</v>
      </c>
      <c r="D754" s="102">
        <v>200000</v>
      </c>
      <c r="E754" s="128">
        <f>ROUND(C754*D754,0)</f>
        <v>200000</v>
      </c>
    </row>
    <row r="755" spans="1:5">
      <c r="A755" s="168" t="s">
        <v>395</v>
      </c>
      <c r="B755" s="169" t="s">
        <v>164</v>
      </c>
      <c r="C755" s="170">
        <v>3</v>
      </c>
      <c r="D755" s="102">
        <v>1550</v>
      </c>
      <c r="E755" s="128">
        <f t="shared" ref="E755" si="32">ROUND(C755*D755,0)</f>
        <v>4650</v>
      </c>
    </row>
    <row r="756" spans="1:5">
      <c r="A756" s="99"/>
      <c r="B756" s="101">
        <f>+E756/D766</f>
        <v>0.81859999999999999</v>
      </c>
      <c r="C756" s="98"/>
      <c r="D756" s="99" t="s">
        <v>209</v>
      </c>
      <c r="E756" s="100">
        <f>SUM(E754:E755)</f>
        <v>204650</v>
      </c>
    </row>
    <row r="757" spans="1:5">
      <c r="A757" s="92" t="s">
        <v>210</v>
      </c>
      <c r="B757" s="93" t="s">
        <v>164</v>
      </c>
      <c r="C757" s="93" t="s">
        <v>2</v>
      </c>
      <c r="D757" s="93" t="s">
        <v>202</v>
      </c>
      <c r="E757" s="93" t="s">
        <v>203</v>
      </c>
    </row>
    <row r="758" spans="1:5">
      <c r="A758" s="94" t="s">
        <v>266</v>
      </c>
      <c r="B758" s="95" t="s">
        <v>212</v>
      </c>
      <c r="C758" s="96">
        <v>0.20019000000000001</v>
      </c>
      <c r="D758" s="97">
        <v>171670</v>
      </c>
      <c r="E758" s="98">
        <f>ROUND(C758*D758,0)</f>
        <v>34367</v>
      </c>
    </row>
    <row r="759" spans="1:5">
      <c r="A759" s="99"/>
      <c r="B759" s="101">
        <f>+E759/D766</f>
        <v>0.13746800000000001</v>
      </c>
      <c r="C759" s="98"/>
      <c r="D759" s="99" t="s">
        <v>209</v>
      </c>
      <c r="E759" s="100">
        <f>+E758</f>
        <v>34367</v>
      </c>
    </row>
    <row r="760" spans="1:5">
      <c r="A760" s="92" t="s">
        <v>218</v>
      </c>
      <c r="B760" s="93" t="s">
        <v>164</v>
      </c>
      <c r="C760" s="93" t="s">
        <v>2</v>
      </c>
      <c r="D760" s="93" t="s">
        <v>202</v>
      </c>
      <c r="E760" s="93" t="s">
        <v>203</v>
      </c>
    </row>
    <row r="761" spans="1:5">
      <c r="A761" s="94" t="s">
        <v>213</v>
      </c>
      <c r="B761" s="95" t="s">
        <v>214</v>
      </c>
      <c r="C761" s="96">
        <v>0.05</v>
      </c>
      <c r="D761" s="97">
        <f>+E756</f>
        <v>204650</v>
      </c>
      <c r="E761" s="98">
        <f>ROUND(C761*D761,0)</f>
        <v>10233</v>
      </c>
    </row>
    <row r="762" spans="1:5">
      <c r="A762" s="99"/>
      <c r="B762" s="101">
        <f>+E762/D766</f>
        <v>4.0932000000000003E-2</v>
      </c>
      <c r="C762" s="98"/>
      <c r="D762" s="99" t="s">
        <v>209</v>
      </c>
      <c r="E762" s="100">
        <f>SUM(E761:E761)</f>
        <v>10233</v>
      </c>
    </row>
    <row r="763" spans="1:5">
      <c r="A763" s="92" t="s">
        <v>219</v>
      </c>
      <c r="B763" s="93" t="s">
        <v>164</v>
      </c>
      <c r="C763" s="93" t="s">
        <v>2</v>
      </c>
      <c r="D763" s="93" t="s">
        <v>202</v>
      </c>
      <c r="E763" s="93" t="s">
        <v>203</v>
      </c>
    </row>
    <row r="764" spans="1:5">
      <c r="A764" s="94" t="s">
        <v>217</v>
      </c>
      <c r="B764" s="95" t="s">
        <v>190</v>
      </c>
      <c r="C764" s="96">
        <v>0.01</v>
      </c>
      <c r="D764" s="97">
        <v>75000</v>
      </c>
      <c r="E764" s="98">
        <f>ROUND(C764*D764,0)</f>
        <v>750</v>
      </c>
    </row>
    <row r="765" spans="1:5">
      <c r="A765" s="99"/>
      <c r="B765" s="101">
        <f>+E765/D766</f>
        <v>3.0000000000000001E-3</v>
      </c>
      <c r="C765" s="98"/>
      <c r="D765" s="99" t="s">
        <v>209</v>
      </c>
      <c r="E765" s="100">
        <f>SUM(E764:E764)</f>
        <v>750</v>
      </c>
    </row>
    <row r="766" spans="1:5">
      <c r="A766" s="213" t="s">
        <v>215</v>
      </c>
      <c r="B766" s="213"/>
      <c r="C766" s="213"/>
      <c r="D766" s="214">
        <f>+E765+E762+E759+E756</f>
        <v>250000</v>
      </c>
      <c r="E766" s="214"/>
    </row>
    <row r="767" spans="1:5">
      <c r="A767" s="114"/>
      <c r="B767" s="114"/>
      <c r="C767" s="114"/>
      <c r="D767" s="115"/>
      <c r="E767" s="115"/>
    </row>
    <row r="768" spans="1:5" ht="20.25">
      <c r="A768" s="200" t="s">
        <v>216</v>
      </c>
      <c r="B768" s="201"/>
      <c r="C768" s="201"/>
      <c r="D768" s="201"/>
      <c r="E768" s="202"/>
    </row>
    <row r="769" spans="1:5">
      <c r="A769" s="203"/>
      <c r="B769" s="204"/>
      <c r="C769" s="205"/>
      <c r="D769" s="90" t="s">
        <v>199</v>
      </c>
      <c r="E769" s="90" t="s">
        <v>164</v>
      </c>
    </row>
    <row r="770" spans="1:5">
      <c r="A770" s="207"/>
      <c r="B770" s="208"/>
      <c r="C770" s="206"/>
      <c r="D770" s="91" t="s">
        <v>142</v>
      </c>
      <c r="E770" s="91" t="s">
        <v>189</v>
      </c>
    </row>
    <row r="771" spans="1:5" ht="15.75">
      <c r="A771" s="209" t="s">
        <v>200</v>
      </c>
      <c r="B771" s="209"/>
      <c r="C771" s="209"/>
      <c r="D771" s="209"/>
      <c r="E771" s="209"/>
    </row>
    <row r="772" spans="1:5" ht="46.5" customHeight="1">
      <c r="A772" s="210" t="s">
        <v>288</v>
      </c>
      <c r="B772" s="211"/>
      <c r="C772" s="211"/>
      <c r="D772" s="211"/>
      <c r="E772" s="212"/>
    </row>
    <row r="773" spans="1:5">
      <c r="A773" s="92" t="s">
        <v>201</v>
      </c>
      <c r="B773" s="93" t="s">
        <v>164</v>
      </c>
      <c r="C773" s="93" t="s">
        <v>2</v>
      </c>
      <c r="D773" s="93" t="s">
        <v>202</v>
      </c>
      <c r="E773" s="93" t="s">
        <v>203</v>
      </c>
    </row>
    <row r="774" spans="1:5">
      <c r="A774" s="94" t="s">
        <v>404</v>
      </c>
      <c r="B774" s="95" t="s">
        <v>189</v>
      </c>
      <c r="C774" s="96">
        <v>1</v>
      </c>
      <c r="D774" s="102">
        <v>122500</v>
      </c>
      <c r="E774" s="98">
        <f>ROUND(C774*D774,0)</f>
        <v>122500</v>
      </c>
    </row>
    <row r="775" spans="1:5">
      <c r="A775" s="99"/>
      <c r="B775" s="101">
        <f>+E775/D785</f>
        <v>0.81666666666666665</v>
      </c>
      <c r="C775" s="98"/>
      <c r="D775" s="99" t="s">
        <v>209</v>
      </c>
      <c r="E775" s="100">
        <f>SUM(E774:E774)</f>
        <v>122500</v>
      </c>
    </row>
    <row r="776" spans="1:5">
      <c r="A776" s="92" t="s">
        <v>210</v>
      </c>
      <c r="B776" s="93" t="s">
        <v>164</v>
      </c>
      <c r="C776" s="93" t="s">
        <v>2</v>
      </c>
      <c r="D776" s="93" t="s">
        <v>202</v>
      </c>
      <c r="E776" s="93" t="s">
        <v>203</v>
      </c>
    </row>
    <row r="777" spans="1:5">
      <c r="A777" s="94" t="s">
        <v>247</v>
      </c>
      <c r="B777" s="95" t="s">
        <v>212</v>
      </c>
      <c r="C777" s="96">
        <v>0.10267</v>
      </c>
      <c r="D777" s="97">
        <v>171670</v>
      </c>
      <c r="E777" s="98">
        <f>ROUND(C777*D777,0)</f>
        <v>17625</v>
      </c>
    </row>
    <row r="778" spans="1:5">
      <c r="A778" s="99"/>
      <c r="B778" s="101">
        <f>+E778/D785</f>
        <v>0.11749999999999999</v>
      </c>
      <c r="C778" s="98"/>
      <c r="D778" s="99" t="s">
        <v>209</v>
      </c>
      <c r="E778" s="100">
        <f>+E777</f>
        <v>17625</v>
      </c>
    </row>
    <row r="779" spans="1:5">
      <c r="A779" s="92" t="s">
        <v>218</v>
      </c>
      <c r="B779" s="93" t="s">
        <v>164</v>
      </c>
      <c r="C779" s="93" t="s">
        <v>2</v>
      </c>
      <c r="D779" s="93" t="s">
        <v>202</v>
      </c>
      <c r="E779" s="93" t="s">
        <v>203</v>
      </c>
    </row>
    <row r="780" spans="1:5">
      <c r="A780" s="94" t="s">
        <v>213</v>
      </c>
      <c r="B780" s="95" t="s">
        <v>214</v>
      </c>
      <c r="C780" s="96">
        <v>0.05</v>
      </c>
      <c r="D780" s="97">
        <f>+E775</f>
        <v>122500</v>
      </c>
      <c r="E780" s="98">
        <f>ROUND(C780*D780,0)</f>
        <v>6125</v>
      </c>
    </row>
    <row r="781" spans="1:5">
      <c r="A781" s="99"/>
      <c r="B781" s="101">
        <f>+E781/D785</f>
        <v>4.0833333333333333E-2</v>
      </c>
      <c r="C781" s="98"/>
      <c r="D781" s="99" t="s">
        <v>209</v>
      </c>
      <c r="E781" s="100">
        <f>SUM(E780:E780)</f>
        <v>6125</v>
      </c>
    </row>
    <row r="782" spans="1:5">
      <c r="A782" s="92" t="s">
        <v>219</v>
      </c>
      <c r="B782" s="93" t="s">
        <v>164</v>
      </c>
      <c r="C782" s="93" t="s">
        <v>2</v>
      </c>
      <c r="D782" s="93" t="s">
        <v>202</v>
      </c>
      <c r="E782" s="93" t="s">
        <v>203</v>
      </c>
    </row>
    <row r="783" spans="1:5">
      <c r="A783" s="94" t="s">
        <v>217</v>
      </c>
      <c r="B783" s="95" t="s">
        <v>190</v>
      </c>
      <c r="C783" s="96">
        <v>0.05</v>
      </c>
      <c r="D783" s="97">
        <v>75000</v>
      </c>
      <c r="E783" s="98">
        <f>ROUND(C783*D783,0)</f>
        <v>3750</v>
      </c>
    </row>
    <row r="784" spans="1:5">
      <c r="A784" s="99"/>
      <c r="B784" s="101">
        <f>+E784/D785</f>
        <v>2.5000000000000001E-2</v>
      </c>
      <c r="C784" s="98"/>
      <c r="D784" s="99" t="s">
        <v>209</v>
      </c>
      <c r="E784" s="100">
        <f>SUM(E783:E783)</f>
        <v>3750</v>
      </c>
    </row>
    <row r="785" spans="1:5">
      <c r="A785" s="213" t="s">
        <v>215</v>
      </c>
      <c r="B785" s="213"/>
      <c r="C785" s="213"/>
      <c r="D785" s="214">
        <f>+E784+E781+E778+E775</f>
        <v>150000</v>
      </c>
      <c r="E785" s="214"/>
    </row>
    <row r="787" spans="1:5" ht="20.25">
      <c r="A787" s="200" t="s">
        <v>216</v>
      </c>
      <c r="B787" s="201"/>
      <c r="C787" s="201"/>
      <c r="D787" s="201"/>
      <c r="E787" s="202"/>
    </row>
    <row r="788" spans="1:5">
      <c r="A788" s="203"/>
      <c r="B788" s="204"/>
      <c r="C788" s="205"/>
      <c r="D788" s="90" t="s">
        <v>199</v>
      </c>
      <c r="E788" s="90" t="s">
        <v>164</v>
      </c>
    </row>
    <row r="789" spans="1:5">
      <c r="A789" s="207"/>
      <c r="B789" s="208"/>
      <c r="C789" s="206"/>
      <c r="D789" s="91" t="s">
        <v>165</v>
      </c>
      <c r="E789" s="91" t="s">
        <v>189</v>
      </c>
    </row>
    <row r="790" spans="1:5" ht="15.75">
      <c r="A790" s="209" t="s">
        <v>200</v>
      </c>
      <c r="B790" s="209"/>
      <c r="C790" s="209"/>
      <c r="D790" s="209"/>
      <c r="E790" s="209"/>
    </row>
    <row r="791" spans="1:5" ht="35.25" customHeight="1">
      <c r="A791" s="210" t="s">
        <v>287</v>
      </c>
      <c r="B791" s="211"/>
      <c r="C791" s="211"/>
      <c r="D791" s="211"/>
      <c r="E791" s="212"/>
    </row>
    <row r="792" spans="1:5">
      <c r="A792" s="92" t="s">
        <v>201</v>
      </c>
      <c r="B792" s="93" t="s">
        <v>164</v>
      </c>
      <c r="C792" s="93" t="s">
        <v>2</v>
      </c>
      <c r="D792" s="93" t="s">
        <v>202</v>
      </c>
      <c r="E792" s="93" t="s">
        <v>203</v>
      </c>
    </row>
    <row r="793" spans="1:5">
      <c r="A793" s="94" t="s">
        <v>405</v>
      </c>
      <c r="B793" s="95" t="s">
        <v>189</v>
      </c>
      <c r="C793" s="96">
        <v>1</v>
      </c>
      <c r="D793" s="102">
        <v>72000</v>
      </c>
      <c r="E793" s="98">
        <f>ROUND(C793*D793,0)</f>
        <v>72000</v>
      </c>
    </row>
    <row r="794" spans="1:5">
      <c r="A794" s="99"/>
      <c r="B794" s="101">
        <f>+E794/D804</f>
        <v>0.84705882352941175</v>
      </c>
      <c r="C794" s="98"/>
      <c r="D794" s="99" t="s">
        <v>209</v>
      </c>
      <c r="E794" s="100">
        <f>SUM(E793:E793)</f>
        <v>72000</v>
      </c>
    </row>
    <row r="795" spans="1:5">
      <c r="A795" s="92" t="s">
        <v>210</v>
      </c>
      <c r="B795" s="93" t="s">
        <v>164</v>
      </c>
      <c r="C795" s="93" t="s">
        <v>2</v>
      </c>
      <c r="D795" s="93" t="s">
        <v>202</v>
      </c>
      <c r="E795" s="93" t="s">
        <v>203</v>
      </c>
    </row>
    <row r="796" spans="1:5">
      <c r="A796" s="94" t="s">
        <v>247</v>
      </c>
      <c r="B796" s="95" t="s">
        <v>212</v>
      </c>
      <c r="C796" s="96">
        <v>5.0384999999999999E-2</v>
      </c>
      <c r="D796" s="97">
        <v>171670</v>
      </c>
      <c r="E796" s="98">
        <f>ROUND(C796*D796,0)</f>
        <v>8650</v>
      </c>
    </row>
    <row r="797" spans="1:5">
      <c r="A797" s="99"/>
      <c r="B797" s="101">
        <f>+E797/D804</f>
        <v>0.10176470588235294</v>
      </c>
      <c r="C797" s="98"/>
      <c r="D797" s="99" t="s">
        <v>209</v>
      </c>
      <c r="E797" s="100">
        <f>+E796</f>
        <v>8650</v>
      </c>
    </row>
    <row r="798" spans="1:5">
      <c r="A798" s="92" t="s">
        <v>218</v>
      </c>
      <c r="B798" s="93" t="s">
        <v>164</v>
      </c>
      <c r="C798" s="93" t="s">
        <v>2</v>
      </c>
      <c r="D798" s="93" t="s">
        <v>202</v>
      </c>
      <c r="E798" s="93" t="s">
        <v>203</v>
      </c>
    </row>
    <row r="799" spans="1:5">
      <c r="A799" s="94" t="s">
        <v>213</v>
      </c>
      <c r="B799" s="95" t="s">
        <v>214</v>
      </c>
      <c r="C799" s="96">
        <v>0.05</v>
      </c>
      <c r="D799" s="97">
        <f>+E794</f>
        <v>72000</v>
      </c>
      <c r="E799" s="98">
        <f>ROUND(C799*D799,0)</f>
        <v>3600</v>
      </c>
    </row>
    <row r="800" spans="1:5">
      <c r="A800" s="99"/>
      <c r="B800" s="101">
        <f>+E800/D804</f>
        <v>4.2352941176470586E-2</v>
      </c>
      <c r="C800" s="98"/>
      <c r="D800" s="99" t="s">
        <v>209</v>
      </c>
      <c r="E800" s="100">
        <f>SUM(E799:E799)</f>
        <v>3600</v>
      </c>
    </row>
    <row r="801" spans="1:5">
      <c r="A801" s="92" t="s">
        <v>219</v>
      </c>
      <c r="B801" s="93" t="s">
        <v>164</v>
      </c>
      <c r="C801" s="93" t="s">
        <v>2</v>
      </c>
      <c r="D801" s="93" t="s">
        <v>202</v>
      </c>
      <c r="E801" s="93" t="s">
        <v>203</v>
      </c>
    </row>
    <row r="802" spans="1:5">
      <c r="A802" s="94" t="s">
        <v>217</v>
      </c>
      <c r="B802" s="95" t="s">
        <v>190</v>
      </c>
      <c r="C802" s="96">
        <v>0.01</v>
      </c>
      <c r="D802" s="97">
        <v>75000</v>
      </c>
      <c r="E802" s="98">
        <f>ROUND(C802*D802,0)</f>
        <v>750</v>
      </c>
    </row>
    <row r="803" spans="1:5">
      <c r="A803" s="99"/>
      <c r="B803" s="101">
        <f>+E803/D804</f>
        <v>8.8235294117647058E-3</v>
      </c>
      <c r="C803" s="98"/>
      <c r="D803" s="99" t="s">
        <v>209</v>
      </c>
      <c r="E803" s="100">
        <f>SUM(E802:E802)</f>
        <v>750</v>
      </c>
    </row>
    <row r="804" spans="1:5">
      <c r="A804" s="213" t="s">
        <v>215</v>
      </c>
      <c r="B804" s="213"/>
      <c r="C804" s="213"/>
      <c r="D804" s="214">
        <f>+E803+E800+E797+E794</f>
        <v>85000</v>
      </c>
      <c r="E804" s="214"/>
    </row>
    <row r="806" spans="1:5" ht="20.25">
      <c r="A806" s="200" t="s">
        <v>216</v>
      </c>
      <c r="B806" s="201"/>
      <c r="C806" s="201"/>
      <c r="D806" s="201"/>
      <c r="E806" s="202"/>
    </row>
    <row r="807" spans="1:5">
      <c r="A807" s="203"/>
      <c r="B807" s="204"/>
      <c r="C807" s="205"/>
      <c r="D807" s="90" t="s">
        <v>199</v>
      </c>
      <c r="E807" s="90" t="s">
        <v>164</v>
      </c>
    </row>
    <row r="808" spans="1:5">
      <c r="A808" s="207"/>
      <c r="B808" s="208"/>
      <c r="C808" s="206"/>
      <c r="D808" s="91" t="s">
        <v>166</v>
      </c>
      <c r="E808" s="91" t="s">
        <v>186</v>
      </c>
    </row>
    <row r="809" spans="1:5" ht="15.75">
      <c r="A809" s="209" t="s">
        <v>200</v>
      </c>
      <c r="B809" s="209"/>
      <c r="C809" s="209"/>
      <c r="D809" s="209"/>
      <c r="E809" s="209"/>
    </row>
    <row r="810" spans="1:5" ht="27.75" customHeight="1">
      <c r="A810" s="210" t="s">
        <v>292</v>
      </c>
      <c r="B810" s="211"/>
      <c r="C810" s="211"/>
      <c r="D810" s="211"/>
      <c r="E810" s="212"/>
    </row>
    <row r="811" spans="1:5">
      <c r="A811" s="92" t="s">
        <v>201</v>
      </c>
      <c r="B811" s="93" t="s">
        <v>164</v>
      </c>
      <c r="C811" s="93" t="s">
        <v>2</v>
      </c>
      <c r="D811" s="93" t="s">
        <v>202</v>
      </c>
      <c r="E811" s="93" t="s">
        <v>203</v>
      </c>
    </row>
    <row r="812" spans="1:5">
      <c r="A812" s="94" t="s">
        <v>406</v>
      </c>
      <c r="B812" s="95" t="s">
        <v>186</v>
      </c>
      <c r="C812" s="96">
        <v>1</v>
      </c>
      <c r="D812" s="102">
        <v>35000</v>
      </c>
      <c r="E812" s="98">
        <f>ROUND(C812*D812,0)</f>
        <v>35000</v>
      </c>
    </row>
    <row r="813" spans="1:5">
      <c r="A813" s="94" t="s">
        <v>407</v>
      </c>
      <c r="B813" s="95" t="s">
        <v>207</v>
      </c>
      <c r="C813" s="96">
        <v>0.1</v>
      </c>
      <c r="D813" s="102">
        <v>5000</v>
      </c>
      <c r="E813" s="98">
        <f t="shared" ref="E813:E814" si="33">ROUND(C813*D813,0)</f>
        <v>500</v>
      </c>
    </row>
    <row r="814" spans="1:5">
      <c r="A814" s="94" t="s">
        <v>408</v>
      </c>
      <c r="B814" s="95" t="s">
        <v>187</v>
      </c>
      <c r="C814" s="96">
        <v>0.1</v>
      </c>
      <c r="D814" s="102">
        <v>20000</v>
      </c>
      <c r="E814" s="98">
        <f t="shared" si="33"/>
        <v>2000</v>
      </c>
    </row>
    <row r="815" spans="1:5">
      <c r="A815" s="99"/>
      <c r="B815" s="101">
        <f>+E815/D825</f>
        <v>0.68181818181818177</v>
      </c>
      <c r="C815" s="98"/>
      <c r="D815" s="99" t="s">
        <v>209</v>
      </c>
      <c r="E815" s="100">
        <f>SUM(E812:E814)</f>
        <v>37500</v>
      </c>
    </row>
    <row r="816" spans="1:5">
      <c r="A816" s="92" t="s">
        <v>210</v>
      </c>
      <c r="B816" s="93" t="s">
        <v>164</v>
      </c>
      <c r="C816" s="93" t="s">
        <v>2</v>
      </c>
      <c r="D816" s="93" t="s">
        <v>202</v>
      </c>
      <c r="E816" s="93" t="s">
        <v>203</v>
      </c>
    </row>
    <row r="817" spans="1:5">
      <c r="A817" s="94" t="s">
        <v>247</v>
      </c>
      <c r="B817" s="95" t="s">
        <v>212</v>
      </c>
      <c r="C817" s="96">
        <v>8.8834999999999997E-2</v>
      </c>
      <c r="D817" s="97">
        <v>171670</v>
      </c>
      <c r="E817" s="98">
        <f>ROUND(C817*D817,0)</f>
        <v>15250</v>
      </c>
    </row>
    <row r="818" spans="1:5">
      <c r="A818" s="99"/>
      <c r="B818" s="101">
        <f>+E818/D825</f>
        <v>0.27727272727272728</v>
      </c>
      <c r="C818" s="98"/>
      <c r="D818" s="99" t="s">
        <v>209</v>
      </c>
      <c r="E818" s="100">
        <f>+E817</f>
        <v>15250</v>
      </c>
    </row>
    <row r="819" spans="1:5">
      <c r="A819" s="92" t="s">
        <v>218</v>
      </c>
      <c r="B819" s="93" t="s">
        <v>164</v>
      </c>
      <c r="C819" s="93" t="s">
        <v>2</v>
      </c>
      <c r="D819" s="93" t="s">
        <v>202</v>
      </c>
      <c r="E819" s="93" t="s">
        <v>203</v>
      </c>
    </row>
    <row r="820" spans="1:5">
      <c r="A820" s="94" t="s">
        <v>213</v>
      </c>
      <c r="B820" s="95" t="s">
        <v>214</v>
      </c>
      <c r="C820" s="96">
        <v>0.05</v>
      </c>
      <c r="D820" s="97">
        <f>+E815</f>
        <v>37500</v>
      </c>
      <c r="E820" s="98">
        <f>ROUND(C820*D820,0)</f>
        <v>1875</v>
      </c>
    </row>
    <row r="821" spans="1:5">
      <c r="A821" s="99"/>
      <c r="B821" s="101">
        <f>+E821/D825</f>
        <v>3.4090909090909088E-2</v>
      </c>
      <c r="C821" s="98"/>
      <c r="D821" s="99" t="s">
        <v>209</v>
      </c>
      <c r="E821" s="100">
        <f>SUM(E820:E820)</f>
        <v>1875</v>
      </c>
    </row>
    <row r="822" spans="1:5">
      <c r="A822" s="92" t="s">
        <v>219</v>
      </c>
      <c r="B822" s="93" t="s">
        <v>164</v>
      </c>
      <c r="C822" s="93" t="s">
        <v>2</v>
      </c>
      <c r="D822" s="93" t="s">
        <v>202</v>
      </c>
      <c r="E822" s="93" t="s">
        <v>203</v>
      </c>
    </row>
    <row r="823" spans="1:5">
      <c r="A823" s="94" t="s">
        <v>217</v>
      </c>
      <c r="B823" s="95" t="s">
        <v>190</v>
      </c>
      <c r="C823" s="96">
        <v>5.0000000000000001E-3</v>
      </c>
      <c r="D823" s="97">
        <v>75000</v>
      </c>
      <c r="E823" s="98">
        <f>ROUND(C823*D823,0)</f>
        <v>375</v>
      </c>
    </row>
    <row r="824" spans="1:5">
      <c r="A824" s="99"/>
      <c r="B824" s="101">
        <f>+E824/D825</f>
        <v>6.8181818181818179E-3</v>
      </c>
      <c r="C824" s="98"/>
      <c r="D824" s="99" t="s">
        <v>209</v>
      </c>
      <c r="E824" s="100">
        <f>SUM(E823:E823)</f>
        <v>375</v>
      </c>
    </row>
    <row r="825" spans="1:5">
      <c r="A825" s="213" t="s">
        <v>215</v>
      </c>
      <c r="B825" s="213"/>
      <c r="C825" s="213"/>
      <c r="D825" s="214">
        <f>+E824+E821+E818+E815</f>
        <v>55000</v>
      </c>
      <c r="E825" s="214"/>
    </row>
    <row r="827" spans="1:5" ht="20.25">
      <c r="A827" s="200" t="s">
        <v>216</v>
      </c>
      <c r="B827" s="201"/>
      <c r="C827" s="201"/>
      <c r="D827" s="201"/>
      <c r="E827" s="202"/>
    </row>
    <row r="828" spans="1:5">
      <c r="A828" s="203"/>
      <c r="B828" s="204"/>
      <c r="C828" s="205"/>
      <c r="D828" s="90" t="s">
        <v>199</v>
      </c>
      <c r="E828" s="90" t="s">
        <v>164</v>
      </c>
    </row>
    <row r="829" spans="1:5">
      <c r="A829" s="207"/>
      <c r="B829" s="208"/>
      <c r="C829" s="206"/>
      <c r="D829" s="91" t="s">
        <v>396</v>
      </c>
      <c r="E829" s="91" t="s">
        <v>189</v>
      </c>
    </row>
    <row r="830" spans="1:5" ht="15.75">
      <c r="A830" s="209" t="s">
        <v>200</v>
      </c>
      <c r="B830" s="209"/>
      <c r="C830" s="209"/>
      <c r="D830" s="209"/>
      <c r="E830" s="209"/>
    </row>
    <row r="831" spans="1:5" ht="25.5" customHeight="1">
      <c r="A831" s="210" t="s">
        <v>284</v>
      </c>
      <c r="B831" s="211"/>
      <c r="C831" s="211"/>
      <c r="D831" s="211"/>
      <c r="E831" s="212"/>
    </row>
    <row r="832" spans="1:5">
      <c r="A832" s="92" t="s">
        <v>201</v>
      </c>
      <c r="B832" s="93" t="s">
        <v>164</v>
      </c>
      <c r="C832" s="93" t="s">
        <v>2</v>
      </c>
      <c r="D832" s="93" t="s">
        <v>202</v>
      </c>
      <c r="E832" s="93" t="s">
        <v>203</v>
      </c>
    </row>
    <row r="833" spans="1:5">
      <c r="A833" s="94" t="s">
        <v>409</v>
      </c>
      <c r="B833" s="95" t="s">
        <v>189</v>
      </c>
      <c r="C833" s="96">
        <v>5</v>
      </c>
      <c r="D833" s="102">
        <v>1750</v>
      </c>
      <c r="E833" s="98">
        <f>ROUND(C833*D833,0)</f>
        <v>8750</v>
      </c>
    </row>
    <row r="834" spans="1:5">
      <c r="A834" s="99"/>
      <c r="B834" s="101">
        <f>+E834/D844</f>
        <v>0.4375</v>
      </c>
      <c r="C834" s="98"/>
      <c r="D834" s="99" t="s">
        <v>209</v>
      </c>
      <c r="E834" s="100">
        <f>SUM(E833:E833)</f>
        <v>8750</v>
      </c>
    </row>
    <row r="835" spans="1:5">
      <c r="A835" s="92" t="s">
        <v>210</v>
      </c>
      <c r="B835" s="93" t="s">
        <v>164</v>
      </c>
      <c r="C835" s="93" t="s">
        <v>2</v>
      </c>
      <c r="D835" s="93" t="s">
        <v>202</v>
      </c>
      <c r="E835" s="93" t="s">
        <v>203</v>
      </c>
    </row>
    <row r="836" spans="1:5">
      <c r="A836" s="94" t="s">
        <v>247</v>
      </c>
      <c r="B836" s="95" t="s">
        <v>212</v>
      </c>
      <c r="C836" s="96">
        <v>5.8610000000000002E-2</v>
      </c>
      <c r="D836" s="97">
        <v>171670</v>
      </c>
      <c r="E836" s="98">
        <f>ROUND(C836*D836,0)</f>
        <v>10062</v>
      </c>
    </row>
    <row r="837" spans="1:5">
      <c r="A837" s="99"/>
      <c r="B837" s="101">
        <f>+E837/D844</f>
        <v>0.50309999999999999</v>
      </c>
      <c r="C837" s="98"/>
      <c r="D837" s="99" t="s">
        <v>209</v>
      </c>
      <c r="E837" s="100">
        <f>+E836</f>
        <v>10062</v>
      </c>
    </row>
    <row r="838" spans="1:5">
      <c r="A838" s="92" t="s">
        <v>218</v>
      </c>
      <c r="B838" s="93" t="s">
        <v>164</v>
      </c>
      <c r="C838" s="93" t="s">
        <v>2</v>
      </c>
      <c r="D838" s="93" t="s">
        <v>202</v>
      </c>
      <c r="E838" s="93" t="s">
        <v>203</v>
      </c>
    </row>
    <row r="839" spans="1:5">
      <c r="A839" s="94" t="s">
        <v>213</v>
      </c>
      <c r="B839" s="95" t="s">
        <v>214</v>
      </c>
      <c r="C839" s="96">
        <v>0.05</v>
      </c>
      <c r="D839" s="97">
        <f>+E834</f>
        <v>8750</v>
      </c>
      <c r="E839" s="98">
        <f>ROUND(C839*D839,0)</f>
        <v>438</v>
      </c>
    </row>
    <row r="840" spans="1:5">
      <c r="A840" s="99"/>
      <c r="B840" s="101">
        <f>+E840/D844</f>
        <v>2.1899999999999999E-2</v>
      </c>
      <c r="C840" s="98"/>
      <c r="D840" s="99" t="s">
        <v>209</v>
      </c>
      <c r="E840" s="100">
        <f>SUM(E839:E839)</f>
        <v>438</v>
      </c>
    </row>
    <row r="841" spans="1:5">
      <c r="A841" s="92" t="s">
        <v>219</v>
      </c>
      <c r="B841" s="93" t="s">
        <v>164</v>
      </c>
      <c r="C841" s="93" t="s">
        <v>2</v>
      </c>
      <c r="D841" s="93" t="s">
        <v>202</v>
      </c>
      <c r="E841" s="93" t="s">
        <v>203</v>
      </c>
    </row>
    <row r="842" spans="1:5">
      <c r="A842" s="94" t="s">
        <v>217</v>
      </c>
      <c r="B842" s="95" t="s">
        <v>190</v>
      </c>
      <c r="C842" s="96">
        <v>0.01</v>
      </c>
      <c r="D842" s="97">
        <v>75000</v>
      </c>
      <c r="E842" s="98">
        <f>ROUND(C842*D842,0)</f>
        <v>750</v>
      </c>
    </row>
    <row r="843" spans="1:5">
      <c r="A843" s="99"/>
      <c r="B843" s="101">
        <f>+E843/D844</f>
        <v>3.7499999999999999E-2</v>
      </c>
      <c r="C843" s="98"/>
      <c r="D843" s="99" t="s">
        <v>209</v>
      </c>
      <c r="E843" s="100">
        <f>SUM(E842:E842)</f>
        <v>750</v>
      </c>
    </row>
    <row r="844" spans="1:5">
      <c r="A844" s="213" t="s">
        <v>215</v>
      </c>
      <c r="B844" s="213"/>
      <c r="C844" s="213"/>
      <c r="D844" s="214">
        <f>+E843+E840+E837+E834</f>
        <v>20000</v>
      </c>
      <c r="E844" s="214"/>
    </row>
    <row r="846" spans="1:5" ht="20.25">
      <c r="A846" s="200" t="s">
        <v>216</v>
      </c>
      <c r="B846" s="201"/>
      <c r="C846" s="201"/>
      <c r="D846" s="201"/>
      <c r="E846" s="202"/>
    </row>
    <row r="847" spans="1:5">
      <c r="A847" s="203"/>
      <c r="B847" s="204"/>
      <c r="C847" s="205"/>
      <c r="D847" s="90" t="s">
        <v>199</v>
      </c>
      <c r="E847" s="90" t="s">
        <v>164</v>
      </c>
    </row>
    <row r="848" spans="1:5">
      <c r="A848" s="207"/>
      <c r="B848" s="208"/>
      <c r="C848" s="206"/>
      <c r="D848" s="91" t="s">
        <v>397</v>
      </c>
      <c r="E848" s="91" t="s">
        <v>186</v>
      </c>
    </row>
    <row r="849" spans="1:5" ht="15.75">
      <c r="A849" s="209" t="s">
        <v>200</v>
      </c>
      <c r="B849" s="209"/>
      <c r="C849" s="209"/>
      <c r="D849" s="209"/>
      <c r="E849" s="209"/>
    </row>
    <row r="850" spans="1:5" ht="39.75" customHeight="1">
      <c r="A850" s="210" t="s">
        <v>286</v>
      </c>
      <c r="B850" s="211"/>
      <c r="C850" s="211"/>
      <c r="D850" s="211"/>
      <c r="E850" s="212"/>
    </row>
    <row r="851" spans="1:5">
      <c r="A851" s="92" t="s">
        <v>201</v>
      </c>
      <c r="B851" s="93" t="s">
        <v>164</v>
      </c>
      <c r="C851" s="93" t="s">
        <v>2</v>
      </c>
      <c r="D851" s="93" t="s">
        <v>202</v>
      </c>
      <c r="E851" s="93" t="s">
        <v>203</v>
      </c>
    </row>
    <row r="852" spans="1:5">
      <c r="A852" s="94" t="s">
        <v>409</v>
      </c>
      <c r="B852" s="95" t="s">
        <v>189</v>
      </c>
      <c r="C852" s="96">
        <v>25</v>
      </c>
      <c r="D852" s="102">
        <v>1750</v>
      </c>
      <c r="E852" s="98">
        <f>ROUND(C852*D852,0)</f>
        <v>43750</v>
      </c>
    </row>
    <row r="853" spans="1:5">
      <c r="A853" s="94" t="s">
        <v>410</v>
      </c>
      <c r="B853" s="95" t="s">
        <v>238</v>
      </c>
      <c r="C853" s="96">
        <v>0.04</v>
      </c>
      <c r="D853" s="102">
        <v>30000</v>
      </c>
      <c r="E853" s="98">
        <f t="shared" ref="E853:E854" si="34">ROUND(C853*D853,0)</f>
        <v>1200</v>
      </c>
    </row>
    <row r="854" spans="1:5">
      <c r="A854" s="94" t="s">
        <v>234</v>
      </c>
      <c r="B854" s="95" t="s">
        <v>188</v>
      </c>
      <c r="C854" s="96">
        <v>0.04</v>
      </c>
      <c r="D854" s="102">
        <v>90000</v>
      </c>
      <c r="E854" s="98">
        <f t="shared" si="34"/>
        <v>3600</v>
      </c>
    </row>
    <row r="855" spans="1:5">
      <c r="A855" s="99"/>
      <c r="B855" s="101">
        <f>+E855/D865</f>
        <v>0.8091666666666667</v>
      </c>
      <c r="C855" s="98"/>
      <c r="D855" s="99" t="s">
        <v>209</v>
      </c>
      <c r="E855" s="100">
        <f>SUM(E852:E854)</f>
        <v>48550</v>
      </c>
    </row>
    <row r="856" spans="1:5">
      <c r="A856" s="92" t="s">
        <v>210</v>
      </c>
      <c r="B856" s="93" t="s">
        <v>164</v>
      </c>
      <c r="C856" s="93" t="s">
        <v>2</v>
      </c>
      <c r="D856" s="93" t="s">
        <v>202</v>
      </c>
      <c r="E856" s="93" t="s">
        <v>203</v>
      </c>
    </row>
    <row r="857" spans="1:5">
      <c r="A857" s="94" t="s">
        <v>247</v>
      </c>
      <c r="B857" s="95" t="s">
        <v>212</v>
      </c>
      <c r="C857" s="96">
        <v>5.0367000000000002E-2</v>
      </c>
      <c r="D857" s="97">
        <v>171670</v>
      </c>
      <c r="E857" s="98">
        <f>ROUND(C857*D857,0)</f>
        <v>8647</v>
      </c>
    </row>
    <row r="858" spans="1:5">
      <c r="A858" s="99"/>
      <c r="B858" s="101">
        <f>+E858/D865</f>
        <v>0.14411666666666667</v>
      </c>
      <c r="C858" s="98"/>
      <c r="D858" s="99" t="s">
        <v>209</v>
      </c>
      <c r="E858" s="100">
        <f>+E857</f>
        <v>8647</v>
      </c>
    </row>
    <row r="859" spans="1:5">
      <c r="A859" s="92" t="s">
        <v>218</v>
      </c>
      <c r="B859" s="93" t="s">
        <v>164</v>
      </c>
      <c r="C859" s="93" t="s">
        <v>2</v>
      </c>
      <c r="D859" s="93" t="s">
        <v>202</v>
      </c>
      <c r="E859" s="93" t="s">
        <v>203</v>
      </c>
    </row>
    <row r="860" spans="1:5">
      <c r="A860" s="94" t="s">
        <v>213</v>
      </c>
      <c r="B860" s="95" t="s">
        <v>214</v>
      </c>
      <c r="C860" s="96">
        <v>0.05</v>
      </c>
      <c r="D860" s="97">
        <f>+E855</f>
        <v>48550</v>
      </c>
      <c r="E860" s="98">
        <f>ROUND(C860*D860,0)</f>
        <v>2428</v>
      </c>
    </row>
    <row r="861" spans="1:5">
      <c r="A861" s="99"/>
      <c r="B861" s="101">
        <f>+E861/D865</f>
        <v>4.0466666666666665E-2</v>
      </c>
      <c r="C861" s="98"/>
      <c r="D861" s="99" t="s">
        <v>209</v>
      </c>
      <c r="E861" s="100">
        <f>SUM(E860:E860)</f>
        <v>2428</v>
      </c>
    </row>
    <row r="862" spans="1:5">
      <c r="A862" s="92" t="s">
        <v>219</v>
      </c>
      <c r="B862" s="93" t="s">
        <v>164</v>
      </c>
      <c r="C862" s="93" t="s">
        <v>2</v>
      </c>
      <c r="D862" s="93" t="s">
        <v>202</v>
      </c>
      <c r="E862" s="93" t="s">
        <v>203</v>
      </c>
    </row>
    <row r="863" spans="1:5">
      <c r="A863" s="94" t="s">
        <v>217</v>
      </c>
      <c r="B863" s="95" t="s">
        <v>190</v>
      </c>
      <c r="C863" s="96">
        <v>5.0000000000000001E-3</v>
      </c>
      <c r="D863" s="97">
        <v>75000</v>
      </c>
      <c r="E863" s="98">
        <f>ROUND(C863*D863,0)</f>
        <v>375</v>
      </c>
    </row>
    <row r="864" spans="1:5">
      <c r="A864" s="99"/>
      <c r="B864" s="101">
        <f>+E864/D865</f>
        <v>6.2500000000000003E-3</v>
      </c>
      <c r="C864" s="98"/>
      <c r="D864" s="99" t="s">
        <v>209</v>
      </c>
      <c r="E864" s="100">
        <f>SUM(E863:E863)</f>
        <v>375</v>
      </c>
    </row>
    <row r="865" spans="1:5">
      <c r="A865" s="213" t="s">
        <v>215</v>
      </c>
      <c r="B865" s="213"/>
      <c r="C865" s="213"/>
      <c r="D865" s="214">
        <f>+E864+E861+E858+E855</f>
        <v>60000</v>
      </c>
      <c r="E865" s="214"/>
    </row>
    <row r="867" spans="1:5" ht="20.25">
      <c r="A867" s="200" t="s">
        <v>216</v>
      </c>
      <c r="B867" s="201"/>
      <c r="C867" s="201"/>
      <c r="D867" s="201"/>
      <c r="E867" s="202"/>
    </row>
    <row r="868" spans="1:5">
      <c r="A868" s="203"/>
      <c r="B868" s="204"/>
      <c r="C868" s="205"/>
      <c r="D868" s="90" t="s">
        <v>199</v>
      </c>
      <c r="E868" s="90" t="s">
        <v>164</v>
      </c>
    </row>
    <row r="869" spans="1:5">
      <c r="A869" s="207"/>
      <c r="B869" s="208"/>
      <c r="C869" s="206"/>
      <c r="D869" s="91" t="s">
        <v>398</v>
      </c>
      <c r="E869" s="91" t="s">
        <v>186</v>
      </c>
    </row>
    <row r="870" spans="1:5" ht="15.75">
      <c r="A870" s="209" t="s">
        <v>200</v>
      </c>
      <c r="B870" s="209"/>
      <c r="C870" s="209"/>
      <c r="D870" s="209"/>
      <c r="E870" s="209"/>
    </row>
    <row r="871" spans="1:5" ht="41.25" customHeight="1">
      <c r="A871" s="210" t="s">
        <v>290</v>
      </c>
      <c r="B871" s="211"/>
      <c r="C871" s="211"/>
      <c r="D871" s="211"/>
      <c r="E871" s="212"/>
    </row>
    <row r="872" spans="1:5">
      <c r="A872" s="92" t="s">
        <v>201</v>
      </c>
      <c r="B872" s="93" t="s">
        <v>164</v>
      </c>
      <c r="C872" s="93" t="s">
        <v>2</v>
      </c>
      <c r="D872" s="93" t="s">
        <v>202</v>
      </c>
      <c r="E872" s="93" t="s">
        <v>203</v>
      </c>
    </row>
    <row r="873" spans="1:5">
      <c r="A873" s="94" t="s">
        <v>412</v>
      </c>
      <c r="B873" s="95" t="s">
        <v>187</v>
      </c>
      <c r="C873" s="96">
        <v>0.1</v>
      </c>
      <c r="D873" s="102">
        <v>75000</v>
      </c>
      <c r="E873" s="98">
        <f>ROUND(C873*D873,0)</f>
        <v>7500</v>
      </c>
    </row>
    <row r="874" spans="1:5">
      <c r="A874" s="94" t="s">
        <v>411</v>
      </c>
      <c r="B874" s="95" t="s">
        <v>164</v>
      </c>
      <c r="C874" s="96">
        <v>0.05</v>
      </c>
      <c r="D874" s="102">
        <v>9500</v>
      </c>
      <c r="E874" s="98">
        <f t="shared" ref="E874:E875" si="35">ROUND(C874*D874,0)</f>
        <v>475</v>
      </c>
    </row>
    <row r="875" spans="1:5">
      <c r="A875" s="94" t="s">
        <v>413</v>
      </c>
      <c r="B875" s="95" t="s">
        <v>164</v>
      </c>
      <c r="C875" s="96">
        <v>0.1</v>
      </c>
      <c r="D875" s="102">
        <v>160000</v>
      </c>
      <c r="E875" s="98">
        <f t="shared" si="35"/>
        <v>16000</v>
      </c>
    </row>
    <row r="876" spans="1:5">
      <c r="A876" s="99"/>
      <c r="B876" s="101">
        <f>+E876/D886</f>
        <v>0.53277777777777779</v>
      </c>
      <c r="C876" s="98"/>
      <c r="D876" s="99" t="s">
        <v>209</v>
      </c>
      <c r="E876" s="100">
        <f>SUM(E873:E875)</f>
        <v>23975</v>
      </c>
    </row>
    <row r="877" spans="1:5">
      <c r="A877" s="92" t="s">
        <v>210</v>
      </c>
      <c r="B877" s="93" t="s">
        <v>164</v>
      </c>
      <c r="C877" s="93" t="s">
        <v>2</v>
      </c>
      <c r="D877" s="93" t="s">
        <v>202</v>
      </c>
      <c r="E877" s="93" t="s">
        <v>203</v>
      </c>
    </row>
    <row r="878" spans="1:5">
      <c r="A878" s="94" t="s">
        <v>247</v>
      </c>
      <c r="B878" s="95" t="s">
        <v>212</v>
      </c>
      <c r="C878" s="96">
        <v>0.113305</v>
      </c>
      <c r="D878" s="97">
        <v>171670</v>
      </c>
      <c r="E878" s="98">
        <f>ROUND(C878*D878,0)</f>
        <v>19451</v>
      </c>
    </row>
    <row r="879" spans="1:5">
      <c r="A879" s="99"/>
      <c r="B879" s="101">
        <f>+E879/D886</f>
        <v>0.43224444444444443</v>
      </c>
      <c r="C879" s="98"/>
      <c r="D879" s="99" t="s">
        <v>209</v>
      </c>
      <c r="E879" s="100">
        <f>+E878</f>
        <v>19451</v>
      </c>
    </row>
    <row r="880" spans="1:5">
      <c r="A880" s="92" t="s">
        <v>218</v>
      </c>
      <c r="B880" s="93" t="s">
        <v>164</v>
      </c>
      <c r="C880" s="93" t="s">
        <v>2</v>
      </c>
      <c r="D880" s="93" t="s">
        <v>202</v>
      </c>
      <c r="E880" s="93" t="s">
        <v>203</v>
      </c>
    </row>
    <row r="881" spans="1:5">
      <c r="A881" s="94" t="s">
        <v>213</v>
      </c>
      <c r="B881" s="95" t="s">
        <v>214</v>
      </c>
      <c r="C881" s="96">
        <v>0.05</v>
      </c>
      <c r="D881" s="97">
        <f>+E876</f>
        <v>23975</v>
      </c>
      <c r="E881" s="98">
        <f>ROUND(C881*D881,0)</f>
        <v>1199</v>
      </c>
    </row>
    <row r="882" spans="1:5">
      <c r="A882" s="99"/>
      <c r="B882" s="101">
        <f>+E882/D886</f>
        <v>2.6644444444444443E-2</v>
      </c>
      <c r="C882" s="98"/>
      <c r="D882" s="99" t="s">
        <v>209</v>
      </c>
      <c r="E882" s="100">
        <f>SUM(E881:E881)</f>
        <v>1199</v>
      </c>
    </row>
    <row r="883" spans="1:5">
      <c r="A883" s="92" t="s">
        <v>219</v>
      </c>
      <c r="B883" s="93" t="s">
        <v>164</v>
      </c>
      <c r="C883" s="93" t="s">
        <v>2</v>
      </c>
      <c r="D883" s="93" t="s">
        <v>202</v>
      </c>
      <c r="E883" s="93" t="s">
        <v>203</v>
      </c>
    </row>
    <row r="884" spans="1:5">
      <c r="A884" s="94" t="s">
        <v>217</v>
      </c>
      <c r="B884" s="95" t="s">
        <v>190</v>
      </c>
      <c r="C884" s="96">
        <v>5.0000000000000001E-3</v>
      </c>
      <c r="D884" s="97">
        <v>75000</v>
      </c>
      <c r="E884" s="98">
        <f>ROUND(C884*D884,0)</f>
        <v>375</v>
      </c>
    </row>
    <row r="885" spans="1:5">
      <c r="A885" s="99"/>
      <c r="B885" s="101">
        <f>+E885/D886</f>
        <v>8.3333333333333332E-3</v>
      </c>
      <c r="C885" s="98"/>
      <c r="D885" s="99" t="s">
        <v>209</v>
      </c>
      <c r="E885" s="100">
        <f>SUM(E884:E884)</f>
        <v>375</v>
      </c>
    </row>
    <row r="886" spans="1:5">
      <c r="A886" s="213" t="s">
        <v>215</v>
      </c>
      <c r="B886" s="213"/>
      <c r="C886" s="213"/>
      <c r="D886" s="214">
        <f>+E885+E882+E879+E876</f>
        <v>45000</v>
      </c>
      <c r="E886" s="214"/>
    </row>
    <row r="888" spans="1:5" ht="20.25">
      <c r="A888" s="200" t="s">
        <v>216</v>
      </c>
      <c r="B888" s="201"/>
      <c r="C888" s="201"/>
      <c r="D888" s="201"/>
      <c r="E888" s="202"/>
    </row>
    <row r="889" spans="1:5">
      <c r="A889" s="203"/>
      <c r="B889" s="204"/>
      <c r="C889" s="205"/>
      <c r="D889" s="90" t="s">
        <v>199</v>
      </c>
      <c r="E889" s="90" t="s">
        <v>164</v>
      </c>
    </row>
    <row r="890" spans="1:5">
      <c r="A890" s="207"/>
      <c r="B890" s="208"/>
      <c r="C890" s="206"/>
      <c r="D890" s="91" t="s">
        <v>399</v>
      </c>
      <c r="E890" s="91" t="s">
        <v>186</v>
      </c>
    </row>
    <row r="891" spans="1:5" ht="15.75">
      <c r="A891" s="209" t="s">
        <v>200</v>
      </c>
      <c r="B891" s="209"/>
      <c r="C891" s="209"/>
      <c r="D891" s="209"/>
      <c r="E891" s="209"/>
    </row>
    <row r="892" spans="1:5" ht="66" customHeight="1">
      <c r="A892" s="210" t="s">
        <v>285</v>
      </c>
      <c r="B892" s="211"/>
      <c r="C892" s="211"/>
      <c r="D892" s="211"/>
      <c r="E892" s="212"/>
    </row>
    <row r="893" spans="1:5">
      <c r="A893" s="92" t="s">
        <v>201</v>
      </c>
      <c r="B893" s="93" t="s">
        <v>164</v>
      </c>
      <c r="C893" s="93" t="s">
        <v>2</v>
      </c>
      <c r="D893" s="93" t="s">
        <v>202</v>
      </c>
      <c r="E893" s="93" t="s">
        <v>203</v>
      </c>
    </row>
    <row r="894" spans="1:5" ht="25.5">
      <c r="A894" s="94" t="s">
        <v>414</v>
      </c>
      <c r="B894" s="95" t="s">
        <v>186</v>
      </c>
      <c r="C894" s="96">
        <v>1</v>
      </c>
      <c r="D894" s="102">
        <v>35000</v>
      </c>
      <c r="E894" s="98">
        <f>ROUND(C894*D894,0)</f>
        <v>35000</v>
      </c>
    </row>
    <row r="895" spans="1:5">
      <c r="A895" s="94" t="s">
        <v>415</v>
      </c>
      <c r="B895" s="95" t="s">
        <v>164</v>
      </c>
      <c r="C895" s="96">
        <v>0.05</v>
      </c>
      <c r="D895" s="102">
        <v>75000</v>
      </c>
      <c r="E895" s="98">
        <f t="shared" ref="E895" si="36">ROUND(C895*D895,0)</f>
        <v>3750</v>
      </c>
    </row>
    <row r="896" spans="1:5">
      <c r="A896" s="99"/>
      <c r="B896" s="101">
        <f>+E896/D906</f>
        <v>0.51666666666666672</v>
      </c>
      <c r="C896" s="98"/>
      <c r="D896" s="99" t="s">
        <v>209</v>
      </c>
      <c r="E896" s="100">
        <f>SUM(E894:E895)</f>
        <v>38750</v>
      </c>
    </row>
    <row r="897" spans="1:5">
      <c r="A897" s="92" t="s">
        <v>210</v>
      </c>
      <c r="B897" s="93" t="s">
        <v>164</v>
      </c>
      <c r="C897" s="93" t="s">
        <v>2</v>
      </c>
      <c r="D897" s="93" t="s">
        <v>202</v>
      </c>
      <c r="E897" s="93" t="s">
        <v>203</v>
      </c>
    </row>
    <row r="898" spans="1:5">
      <c r="A898" s="94" t="s">
        <v>247</v>
      </c>
      <c r="B898" s="95" t="s">
        <v>212</v>
      </c>
      <c r="C898" s="96">
        <v>0.17802999999999999</v>
      </c>
      <c r="D898" s="97">
        <v>171670</v>
      </c>
      <c r="E898" s="98">
        <f>ROUND(C898*D898,0)</f>
        <v>30562</v>
      </c>
    </row>
    <row r="899" spans="1:5">
      <c r="A899" s="99"/>
      <c r="B899" s="101">
        <f>+E899/D906</f>
        <v>0.40749333333333332</v>
      </c>
      <c r="C899" s="98"/>
      <c r="D899" s="99" t="s">
        <v>209</v>
      </c>
      <c r="E899" s="100">
        <f>+E898</f>
        <v>30562</v>
      </c>
    </row>
    <row r="900" spans="1:5">
      <c r="A900" s="92" t="s">
        <v>218</v>
      </c>
      <c r="B900" s="93" t="s">
        <v>164</v>
      </c>
      <c r="C900" s="93" t="s">
        <v>2</v>
      </c>
      <c r="D900" s="93" t="s">
        <v>202</v>
      </c>
      <c r="E900" s="93" t="s">
        <v>203</v>
      </c>
    </row>
    <row r="901" spans="1:5">
      <c r="A901" s="94" t="s">
        <v>213</v>
      </c>
      <c r="B901" s="95" t="s">
        <v>214</v>
      </c>
      <c r="C901" s="96">
        <v>0.05</v>
      </c>
      <c r="D901" s="97">
        <f>+E896</f>
        <v>38750</v>
      </c>
      <c r="E901" s="98">
        <f>ROUND(C901*D901,0)</f>
        <v>1938</v>
      </c>
    </row>
    <row r="902" spans="1:5">
      <c r="A902" s="99"/>
      <c r="B902" s="101">
        <f>+E902/D906</f>
        <v>2.5839999999999998E-2</v>
      </c>
      <c r="C902" s="98"/>
      <c r="D902" s="99" t="s">
        <v>209</v>
      </c>
      <c r="E902" s="100">
        <f>SUM(E901:E901)</f>
        <v>1938</v>
      </c>
    </row>
    <row r="903" spans="1:5">
      <c r="A903" s="92" t="s">
        <v>219</v>
      </c>
      <c r="B903" s="93" t="s">
        <v>164</v>
      </c>
      <c r="C903" s="93" t="s">
        <v>2</v>
      </c>
      <c r="D903" s="93" t="s">
        <v>202</v>
      </c>
      <c r="E903" s="93" t="s">
        <v>203</v>
      </c>
    </row>
    <row r="904" spans="1:5">
      <c r="A904" s="94" t="s">
        <v>217</v>
      </c>
      <c r="B904" s="95" t="s">
        <v>190</v>
      </c>
      <c r="C904" s="96">
        <v>0.05</v>
      </c>
      <c r="D904" s="97">
        <v>75000</v>
      </c>
      <c r="E904" s="98">
        <f>ROUND(C904*D904,0)</f>
        <v>3750</v>
      </c>
    </row>
    <row r="905" spans="1:5">
      <c r="A905" s="99"/>
      <c r="B905" s="101">
        <f>+E905/D906</f>
        <v>0.05</v>
      </c>
      <c r="C905" s="98"/>
      <c r="D905" s="99" t="s">
        <v>209</v>
      </c>
      <c r="E905" s="100">
        <f>SUM(E904:E904)</f>
        <v>3750</v>
      </c>
    </row>
    <row r="906" spans="1:5">
      <c r="A906" s="213" t="s">
        <v>215</v>
      </c>
      <c r="B906" s="213"/>
      <c r="C906" s="213"/>
      <c r="D906" s="214">
        <f>+E905+E902+E899+E896</f>
        <v>75000</v>
      </c>
      <c r="E906" s="214"/>
    </row>
    <row r="908" spans="1:5" ht="20.25">
      <c r="A908" s="200" t="s">
        <v>216</v>
      </c>
      <c r="B908" s="201"/>
      <c r="C908" s="201"/>
      <c r="D908" s="201"/>
      <c r="E908" s="202"/>
    </row>
    <row r="909" spans="1:5">
      <c r="A909" s="203"/>
      <c r="B909" s="204"/>
      <c r="C909" s="205"/>
      <c r="D909" s="90" t="s">
        <v>199</v>
      </c>
      <c r="E909" s="90" t="s">
        <v>164</v>
      </c>
    </row>
    <row r="910" spans="1:5">
      <c r="A910" s="207"/>
      <c r="B910" s="208"/>
      <c r="C910" s="206"/>
      <c r="D910" s="91" t="s">
        <v>400</v>
      </c>
      <c r="E910" s="91" t="s">
        <v>189</v>
      </c>
    </row>
    <row r="911" spans="1:5" ht="15.75">
      <c r="A911" s="209" t="s">
        <v>200</v>
      </c>
      <c r="B911" s="209"/>
      <c r="C911" s="209"/>
      <c r="D911" s="209"/>
      <c r="E911" s="209"/>
    </row>
    <row r="912" spans="1:5" ht="38.25" customHeight="1">
      <c r="A912" s="210" t="s">
        <v>289</v>
      </c>
      <c r="B912" s="211"/>
      <c r="C912" s="211"/>
      <c r="D912" s="211"/>
      <c r="E912" s="212"/>
    </row>
    <row r="913" spans="1:5">
      <c r="A913" s="92" t="s">
        <v>201</v>
      </c>
      <c r="B913" s="93" t="s">
        <v>164</v>
      </c>
      <c r="C913" s="93" t="s">
        <v>2</v>
      </c>
      <c r="D913" s="93" t="s">
        <v>202</v>
      </c>
      <c r="E913" s="93" t="s">
        <v>203</v>
      </c>
    </row>
    <row r="914" spans="1:5">
      <c r="A914" s="94" t="s">
        <v>410</v>
      </c>
      <c r="B914" s="95" t="s">
        <v>238</v>
      </c>
      <c r="C914" s="96">
        <v>0.05</v>
      </c>
      <c r="D914" s="102">
        <v>30000</v>
      </c>
      <c r="E914" s="98">
        <f>ROUND(C914*D914,0)</f>
        <v>1500</v>
      </c>
    </row>
    <row r="915" spans="1:5">
      <c r="A915" s="94" t="s">
        <v>234</v>
      </c>
      <c r="B915" s="95" t="s">
        <v>188</v>
      </c>
      <c r="C915" s="96">
        <v>0.05</v>
      </c>
      <c r="D915" s="102">
        <v>75000</v>
      </c>
      <c r="E915" s="98">
        <f t="shared" ref="E915" si="37">ROUND(C915*D915,0)</f>
        <v>3750</v>
      </c>
    </row>
    <row r="916" spans="1:5">
      <c r="A916" s="99"/>
      <c r="B916" s="101">
        <f>+E916/D926</f>
        <v>0.21</v>
      </c>
      <c r="C916" s="98"/>
      <c r="D916" s="99" t="s">
        <v>209</v>
      </c>
      <c r="E916" s="100">
        <f>SUM(E914:E915)</f>
        <v>5250</v>
      </c>
    </row>
    <row r="917" spans="1:5">
      <c r="A917" s="92" t="s">
        <v>210</v>
      </c>
      <c r="B917" s="93" t="s">
        <v>164</v>
      </c>
      <c r="C917" s="93" t="s">
        <v>2</v>
      </c>
      <c r="D917" s="93" t="s">
        <v>202</v>
      </c>
      <c r="E917" s="93" t="s">
        <v>203</v>
      </c>
    </row>
    <row r="918" spans="1:5">
      <c r="A918" s="94" t="s">
        <v>247</v>
      </c>
      <c r="B918" s="95" t="s">
        <v>212</v>
      </c>
      <c r="C918" s="96">
        <v>0.110455</v>
      </c>
      <c r="D918" s="97">
        <v>171670</v>
      </c>
      <c r="E918" s="98">
        <f>ROUND(C918*D918,0)</f>
        <v>18962</v>
      </c>
    </row>
    <row r="919" spans="1:5">
      <c r="A919" s="99"/>
      <c r="B919" s="101">
        <f>+E919/D926</f>
        <v>0.75848000000000004</v>
      </c>
      <c r="C919" s="98"/>
      <c r="D919" s="99" t="s">
        <v>209</v>
      </c>
      <c r="E919" s="100">
        <f>+E918</f>
        <v>18962</v>
      </c>
    </row>
    <row r="920" spans="1:5">
      <c r="A920" s="92" t="s">
        <v>218</v>
      </c>
      <c r="B920" s="93" t="s">
        <v>164</v>
      </c>
      <c r="C920" s="93" t="s">
        <v>2</v>
      </c>
      <c r="D920" s="93" t="s">
        <v>202</v>
      </c>
      <c r="E920" s="93" t="s">
        <v>203</v>
      </c>
    </row>
    <row r="921" spans="1:5">
      <c r="A921" s="94" t="s">
        <v>213</v>
      </c>
      <c r="B921" s="95" t="s">
        <v>214</v>
      </c>
      <c r="C921" s="96">
        <v>0.05</v>
      </c>
      <c r="D921" s="97">
        <f>+E916</f>
        <v>5250</v>
      </c>
      <c r="E921" s="98">
        <f>ROUND(C921*D921,0)</f>
        <v>263</v>
      </c>
    </row>
    <row r="922" spans="1:5">
      <c r="A922" s="99"/>
      <c r="B922" s="101">
        <f>+E922/D926</f>
        <v>1.052E-2</v>
      </c>
      <c r="C922" s="98"/>
      <c r="D922" s="99" t="s">
        <v>209</v>
      </c>
      <c r="E922" s="100">
        <f>SUM(E921:E921)</f>
        <v>263</v>
      </c>
    </row>
    <row r="923" spans="1:5">
      <c r="A923" s="92" t="s">
        <v>219</v>
      </c>
      <c r="B923" s="93" t="s">
        <v>164</v>
      </c>
      <c r="C923" s="93" t="s">
        <v>2</v>
      </c>
      <c r="D923" s="93" t="s">
        <v>202</v>
      </c>
      <c r="E923" s="93" t="s">
        <v>203</v>
      </c>
    </row>
    <row r="924" spans="1:5">
      <c r="A924" s="94" t="s">
        <v>217</v>
      </c>
      <c r="B924" s="95" t="s">
        <v>190</v>
      </c>
      <c r="C924" s="96">
        <v>7.0000000000000001E-3</v>
      </c>
      <c r="D924" s="97">
        <v>75000</v>
      </c>
      <c r="E924" s="98">
        <f>ROUND(C924*D924,0)</f>
        <v>525</v>
      </c>
    </row>
    <row r="925" spans="1:5">
      <c r="A925" s="99"/>
      <c r="B925" s="101">
        <f>+E925/D926</f>
        <v>2.1000000000000001E-2</v>
      </c>
      <c r="C925" s="98"/>
      <c r="D925" s="99" t="s">
        <v>209</v>
      </c>
      <c r="E925" s="100">
        <f>SUM(E924:E924)</f>
        <v>525</v>
      </c>
    </row>
    <row r="926" spans="1:5">
      <c r="A926" s="213" t="s">
        <v>215</v>
      </c>
      <c r="B926" s="213"/>
      <c r="C926" s="213"/>
      <c r="D926" s="214">
        <f>+E925+E922+E919+E916</f>
        <v>25000</v>
      </c>
      <c r="E926" s="214"/>
    </row>
    <row r="928" spans="1:5" ht="30.75" customHeight="1">
      <c r="A928" s="200" t="s">
        <v>216</v>
      </c>
      <c r="B928" s="201"/>
      <c r="C928" s="201"/>
      <c r="D928" s="201"/>
      <c r="E928" s="202"/>
    </row>
    <row r="929" spans="1:5">
      <c r="A929" s="203"/>
      <c r="B929" s="204"/>
      <c r="C929" s="205"/>
      <c r="D929" s="90" t="s">
        <v>199</v>
      </c>
      <c r="E929" s="90" t="s">
        <v>164</v>
      </c>
    </row>
    <row r="930" spans="1:5">
      <c r="A930" s="207"/>
      <c r="B930" s="208"/>
      <c r="C930" s="206"/>
      <c r="D930" s="91" t="s">
        <v>401</v>
      </c>
      <c r="E930" s="91" t="s">
        <v>189</v>
      </c>
    </row>
    <row r="931" spans="1:5" ht="15.75">
      <c r="A931" s="209" t="s">
        <v>200</v>
      </c>
      <c r="B931" s="209"/>
      <c r="C931" s="209"/>
      <c r="D931" s="209"/>
      <c r="E931" s="209"/>
    </row>
    <row r="932" spans="1:5" ht="42" customHeight="1">
      <c r="A932" s="210" t="s">
        <v>283</v>
      </c>
      <c r="B932" s="211"/>
      <c r="C932" s="211"/>
      <c r="D932" s="211"/>
      <c r="E932" s="212"/>
    </row>
    <row r="933" spans="1:5">
      <c r="A933" s="92" t="s">
        <v>201</v>
      </c>
      <c r="B933" s="93" t="s">
        <v>164</v>
      </c>
      <c r="C933" s="93" t="s">
        <v>2</v>
      </c>
      <c r="D933" s="93" t="s">
        <v>202</v>
      </c>
      <c r="E933" s="93" t="s">
        <v>203</v>
      </c>
    </row>
    <row r="934" spans="1:5">
      <c r="A934" s="94" t="s">
        <v>416</v>
      </c>
      <c r="B934" s="95" t="s">
        <v>186</v>
      </c>
      <c r="C934" s="96">
        <v>1</v>
      </c>
      <c r="D934" s="102">
        <v>27200</v>
      </c>
      <c r="E934" s="98">
        <f>ROUND(C934*D934,0)</f>
        <v>27200</v>
      </c>
    </row>
    <row r="935" spans="1:5">
      <c r="A935" s="99"/>
      <c r="B935" s="101">
        <f>+E935/D945</f>
        <v>0.60444444444444445</v>
      </c>
      <c r="C935" s="98"/>
      <c r="D935" s="99" t="s">
        <v>209</v>
      </c>
      <c r="E935" s="100">
        <f>SUM(E934:E934)</f>
        <v>27200</v>
      </c>
    </row>
    <row r="936" spans="1:5">
      <c r="A936" s="92" t="s">
        <v>210</v>
      </c>
      <c r="B936" s="93" t="s">
        <v>164</v>
      </c>
      <c r="C936" s="93" t="s">
        <v>2</v>
      </c>
      <c r="D936" s="93" t="s">
        <v>202</v>
      </c>
      <c r="E936" s="93" t="s">
        <v>203</v>
      </c>
    </row>
    <row r="937" spans="1:5">
      <c r="A937" s="94" t="s">
        <v>247</v>
      </c>
      <c r="B937" s="95" t="s">
        <v>212</v>
      </c>
      <c r="C937" s="96">
        <v>9.3579999999999997E-2</v>
      </c>
      <c r="D937" s="97">
        <v>171670</v>
      </c>
      <c r="E937" s="98">
        <f>ROUND(C937*D937,0)</f>
        <v>16065</v>
      </c>
    </row>
    <row r="938" spans="1:5">
      <c r="A938" s="99"/>
      <c r="B938" s="101">
        <f>+E938/D945</f>
        <v>0.35699999999999998</v>
      </c>
      <c r="C938" s="98"/>
      <c r="D938" s="99" t="s">
        <v>209</v>
      </c>
      <c r="E938" s="100">
        <f>+E937</f>
        <v>16065</v>
      </c>
    </row>
    <row r="939" spans="1:5">
      <c r="A939" s="92" t="s">
        <v>218</v>
      </c>
      <c r="B939" s="93" t="s">
        <v>164</v>
      </c>
      <c r="C939" s="93" t="s">
        <v>2</v>
      </c>
      <c r="D939" s="93" t="s">
        <v>202</v>
      </c>
      <c r="E939" s="93" t="s">
        <v>203</v>
      </c>
    </row>
    <row r="940" spans="1:5">
      <c r="A940" s="94" t="s">
        <v>213</v>
      </c>
      <c r="B940" s="95" t="s">
        <v>214</v>
      </c>
      <c r="C940" s="96">
        <v>0.05</v>
      </c>
      <c r="D940" s="97">
        <f>+E935</f>
        <v>27200</v>
      </c>
      <c r="E940" s="98">
        <f>ROUND(C940*D940,0)</f>
        <v>1360</v>
      </c>
    </row>
    <row r="941" spans="1:5">
      <c r="A941" s="99"/>
      <c r="B941" s="101">
        <f>+E941/D945</f>
        <v>3.0222222222222223E-2</v>
      </c>
      <c r="C941" s="98"/>
      <c r="D941" s="99" t="s">
        <v>209</v>
      </c>
      <c r="E941" s="100">
        <f>SUM(E940:E940)</f>
        <v>1360</v>
      </c>
    </row>
    <row r="942" spans="1:5">
      <c r="A942" s="92" t="s">
        <v>219</v>
      </c>
      <c r="B942" s="93" t="s">
        <v>164</v>
      </c>
      <c r="C942" s="93" t="s">
        <v>2</v>
      </c>
      <c r="D942" s="93" t="s">
        <v>202</v>
      </c>
      <c r="E942" s="93" t="s">
        <v>203</v>
      </c>
    </row>
    <row r="943" spans="1:5">
      <c r="A943" s="94" t="s">
        <v>217</v>
      </c>
      <c r="B943" s="95" t="s">
        <v>190</v>
      </c>
      <c r="C943" s="96">
        <v>5.0000000000000001E-3</v>
      </c>
      <c r="D943" s="97">
        <v>75000</v>
      </c>
      <c r="E943" s="98">
        <f>ROUND(C943*D943,0)</f>
        <v>375</v>
      </c>
    </row>
    <row r="944" spans="1:5">
      <c r="A944" s="99"/>
      <c r="B944" s="101">
        <f>+E944/D945</f>
        <v>8.3333333333333332E-3</v>
      </c>
      <c r="C944" s="98"/>
      <c r="D944" s="99" t="s">
        <v>209</v>
      </c>
      <c r="E944" s="100">
        <f>SUM(E943:E943)</f>
        <v>375</v>
      </c>
    </row>
    <row r="945" spans="1:5">
      <c r="A945" s="213" t="s">
        <v>215</v>
      </c>
      <c r="B945" s="213"/>
      <c r="C945" s="213"/>
      <c r="D945" s="214">
        <f>+E944+E941+E938+E935</f>
        <v>45000</v>
      </c>
      <c r="E945" s="214"/>
    </row>
    <row r="947" spans="1:5" ht="20.25">
      <c r="A947" s="200" t="s">
        <v>216</v>
      </c>
      <c r="B947" s="201"/>
      <c r="C947" s="201"/>
      <c r="D947" s="201"/>
      <c r="E947" s="202"/>
    </row>
    <row r="948" spans="1:5">
      <c r="A948" s="203"/>
      <c r="B948" s="204"/>
      <c r="C948" s="205"/>
      <c r="D948" s="90" t="s">
        <v>199</v>
      </c>
      <c r="E948" s="90" t="s">
        <v>164</v>
      </c>
    </row>
    <row r="949" spans="1:5">
      <c r="A949" s="207"/>
      <c r="B949" s="208"/>
      <c r="C949" s="206"/>
      <c r="D949" s="91" t="s">
        <v>402</v>
      </c>
      <c r="E949" s="91" t="s">
        <v>189</v>
      </c>
    </row>
    <row r="950" spans="1:5" ht="15.75">
      <c r="A950" s="209" t="s">
        <v>200</v>
      </c>
      <c r="B950" s="209"/>
      <c r="C950" s="209"/>
      <c r="D950" s="209"/>
      <c r="E950" s="209"/>
    </row>
    <row r="951" spans="1:5" ht="29.25" customHeight="1">
      <c r="A951" s="210" t="s">
        <v>417</v>
      </c>
      <c r="B951" s="211"/>
      <c r="C951" s="211"/>
      <c r="D951" s="211"/>
      <c r="E951" s="212"/>
    </row>
    <row r="952" spans="1:5">
      <c r="A952" s="92" t="s">
        <v>201</v>
      </c>
      <c r="B952" s="93" t="s">
        <v>164</v>
      </c>
      <c r="C952" s="93" t="s">
        <v>2</v>
      </c>
      <c r="D952" s="93" t="s">
        <v>202</v>
      </c>
      <c r="E952" s="93" t="s">
        <v>203</v>
      </c>
    </row>
    <row r="953" spans="1:5">
      <c r="A953" s="94" t="s">
        <v>268</v>
      </c>
      <c r="B953" s="95" t="s">
        <v>186</v>
      </c>
      <c r="C953" s="96">
        <v>1</v>
      </c>
      <c r="D953" s="102">
        <v>125000</v>
      </c>
      <c r="E953" s="98">
        <f>ROUND(C953*D953,0)</f>
        <v>125000</v>
      </c>
    </row>
    <row r="954" spans="1:5">
      <c r="A954" s="99"/>
      <c r="B954" s="101">
        <f>+E954/D964</f>
        <v>0.83333333333333337</v>
      </c>
      <c r="C954" s="98"/>
      <c r="D954" s="99" t="s">
        <v>209</v>
      </c>
      <c r="E954" s="100">
        <f>SUM(E953:E953)</f>
        <v>125000</v>
      </c>
    </row>
    <row r="955" spans="1:5">
      <c r="A955" s="92" t="s">
        <v>210</v>
      </c>
      <c r="B955" s="93" t="s">
        <v>164</v>
      </c>
      <c r="C955" s="93" t="s">
        <v>2</v>
      </c>
      <c r="D955" s="93" t="s">
        <v>202</v>
      </c>
      <c r="E955" s="93" t="s">
        <v>203</v>
      </c>
    </row>
    <row r="956" spans="1:5">
      <c r="A956" s="94" t="s">
        <v>247</v>
      </c>
      <c r="B956" s="95" t="s">
        <v>212</v>
      </c>
      <c r="C956" s="96">
        <v>0.107475</v>
      </c>
      <c r="D956" s="97">
        <v>171670</v>
      </c>
      <c r="E956" s="98">
        <f>ROUND(C956*D956,0)</f>
        <v>18450</v>
      </c>
    </row>
    <row r="957" spans="1:5">
      <c r="A957" s="99"/>
      <c r="B957" s="101">
        <f>+E957/D964</f>
        <v>0.123</v>
      </c>
      <c r="C957" s="98"/>
      <c r="D957" s="99" t="s">
        <v>209</v>
      </c>
      <c r="E957" s="100">
        <f>+E956</f>
        <v>18450</v>
      </c>
    </row>
    <row r="958" spans="1:5">
      <c r="A958" s="92" t="s">
        <v>218</v>
      </c>
      <c r="B958" s="93" t="s">
        <v>164</v>
      </c>
      <c r="C958" s="93" t="s">
        <v>2</v>
      </c>
      <c r="D958" s="93" t="s">
        <v>202</v>
      </c>
      <c r="E958" s="93" t="s">
        <v>203</v>
      </c>
    </row>
    <row r="959" spans="1:5">
      <c r="A959" s="94" t="s">
        <v>213</v>
      </c>
      <c r="B959" s="95" t="s">
        <v>214</v>
      </c>
      <c r="C959" s="96">
        <v>0.05</v>
      </c>
      <c r="D959" s="97">
        <f>+E954</f>
        <v>125000</v>
      </c>
      <c r="E959" s="98">
        <f>ROUND(C959*D959,0)</f>
        <v>6250</v>
      </c>
    </row>
    <row r="960" spans="1:5">
      <c r="A960" s="99"/>
      <c r="B960" s="101">
        <f>+E960/D964</f>
        <v>4.1666666666666664E-2</v>
      </c>
      <c r="C960" s="98"/>
      <c r="D960" s="99" t="s">
        <v>209</v>
      </c>
      <c r="E960" s="100">
        <f>SUM(E959:E959)</f>
        <v>6250</v>
      </c>
    </row>
    <row r="961" spans="1:5">
      <c r="A961" s="92" t="s">
        <v>219</v>
      </c>
      <c r="B961" s="93" t="s">
        <v>164</v>
      </c>
      <c r="C961" s="93" t="s">
        <v>2</v>
      </c>
      <c r="D961" s="93" t="s">
        <v>202</v>
      </c>
      <c r="E961" s="93" t="s">
        <v>203</v>
      </c>
    </row>
    <row r="962" spans="1:5">
      <c r="A962" s="94" t="s">
        <v>217</v>
      </c>
      <c r="B962" s="95" t="s">
        <v>190</v>
      </c>
      <c r="C962" s="96">
        <v>4.0000000000000001E-3</v>
      </c>
      <c r="D962" s="97">
        <v>75000</v>
      </c>
      <c r="E962" s="98">
        <f>ROUND(C962*D962,0)</f>
        <v>300</v>
      </c>
    </row>
    <row r="963" spans="1:5">
      <c r="A963" s="99"/>
      <c r="B963" s="101">
        <f>+E963/D964</f>
        <v>2E-3</v>
      </c>
      <c r="C963" s="98"/>
      <c r="D963" s="99" t="s">
        <v>209</v>
      </c>
      <c r="E963" s="100">
        <f>SUM(E962:E962)</f>
        <v>300</v>
      </c>
    </row>
    <row r="964" spans="1:5">
      <c r="A964" s="213" t="s">
        <v>215</v>
      </c>
      <c r="B964" s="213"/>
      <c r="C964" s="213"/>
      <c r="D964" s="214">
        <f>+E963+E960+E957+E954</f>
        <v>150000</v>
      </c>
      <c r="E964" s="214"/>
    </row>
    <row r="966" spans="1:5" ht="20.25">
      <c r="A966" s="200" t="s">
        <v>216</v>
      </c>
      <c r="B966" s="201"/>
      <c r="C966" s="201"/>
      <c r="D966" s="201"/>
      <c r="E966" s="202"/>
    </row>
    <row r="967" spans="1:5">
      <c r="A967" s="203"/>
      <c r="B967" s="204"/>
      <c r="C967" s="205"/>
      <c r="D967" s="90" t="s">
        <v>199</v>
      </c>
      <c r="E967" s="90" t="s">
        <v>164</v>
      </c>
    </row>
    <row r="968" spans="1:5">
      <c r="A968" s="207"/>
      <c r="B968" s="208"/>
      <c r="C968" s="206"/>
      <c r="D968" s="91" t="s">
        <v>403</v>
      </c>
      <c r="E968" s="91" t="s">
        <v>186</v>
      </c>
    </row>
    <row r="969" spans="1:5" ht="15.75">
      <c r="A969" s="209" t="s">
        <v>200</v>
      </c>
      <c r="B969" s="209"/>
      <c r="C969" s="209"/>
      <c r="D969" s="209"/>
      <c r="E969" s="209"/>
    </row>
    <row r="970" spans="1:5" ht="39.75" customHeight="1">
      <c r="A970" s="210" t="s">
        <v>291</v>
      </c>
      <c r="B970" s="211"/>
      <c r="C970" s="211"/>
      <c r="D970" s="211"/>
      <c r="E970" s="212"/>
    </row>
    <row r="971" spans="1:5">
      <c r="A971" s="92" t="s">
        <v>201</v>
      </c>
      <c r="B971" s="93" t="s">
        <v>164</v>
      </c>
      <c r="C971" s="93" t="s">
        <v>2</v>
      </c>
      <c r="D971" s="93" t="s">
        <v>202</v>
      </c>
      <c r="E971" s="93" t="s">
        <v>203</v>
      </c>
    </row>
    <row r="972" spans="1:5">
      <c r="A972" s="94" t="s">
        <v>418</v>
      </c>
      <c r="B972" s="95" t="s">
        <v>184</v>
      </c>
      <c r="C972" s="96">
        <v>8.5000000000000006E-2</v>
      </c>
      <c r="D972" s="97">
        <v>900</v>
      </c>
      <c r="E972" s="98">
        <f>ROUND(C972*D972,0)</f>
        <v>77</v>
      </c>
    </row>
    <row r="973" spans="1:5">
      <c r="A973" s="94" t="s">
        <v>419</v>
      </c>
      <c r="B973" s="95" t="s">
        <v>185</v>
      </c>
      <c r="C973" s="96">
        <v>10</v>
      </c>
      <c r="D973" s="97">
        <v>20</v>
      </c>
      <c r="E973" s="98">
        <f t="shared" ref="E973:E983" si="38">ROUND(C973*D973,0)</f>
        <v>200</v>
      </c>
    </row>
    <row r="974" spans="1:5">
      <c r="A974" s="94" t="s">
        <v>420</v>
      </c>
      <c r="B974" s="95" t="s">
        <v>184</v>
      </c>
      <c r="C974" s="96">
        <v>1.3</v>
      </c>
      <c r="D974" s="97">
        <v>1500</v>
      </c>
      <c r="E974" s="98">
        <f t="shared" si="38"/>
        <v>1950</v>
      </c>
    </row>
    <row r="975" spans="1:5">
      <c r="A975" s="94" t="s">
        <v>421</v>
      </c>
      <c r="B975" s="95" t="s">
        <v>184</v>
      </c>
      <c r="C975" s="96">
        <v>2.6</v>
      </c>
      <c r="D975" s="97">
        <v>1500</v>
      </c>
      <c r="E975" s="98">
        <f t="shared" si="38"/>
        <v>3900</v>
      </c>
    </row>
    <row r="976" spans="1:5" ht="25.5">
      <c r="A976" s="173" t="s">
        <v>427</v>
      </c>
      <c r="B976" s="95" t="s">
        <v>185</v>
      </c>
      <c r="C976" s="96">
        <v>0.4</v>
      </c>
      <c r="D976" s="97">
        <v>35000</v>
      </c>
      <c r="E976" s="98">
        <f t="shared" si="38"/>
        <v>14000</v>
      </c>
    </row>
    <row r="977" spans="1:5">
      <c r="A977" s="94" t="s">
        <v>422</v>
      </c>
      <c r="B977" s="95" t="s">
        <v>185</v>
      </c>
      <c r="C977" s="96">
        <v>10.5</v>
      </c>
      <c r="D977" s="97">
        <v>20</v>
      </c>
      <c r="E977" s="98">
        <f t="shared" si="38"/>
        <v>210</v>
      </c>
    </row>
    <row r="978" spans="1:5">
      <c r="A978" s="94" t="s">
        <v>423</v>
      </c>
      <c r="B978" s="95" t="s">
        <v>185</v>
      </c>
      <c r="C978" s="96">
        <v>10</v>
      </c>
      <c r="D978" s="97">
        <v>25</v>
      </c>
      <c r="E978" s="98">
        <f t="shared" si="38"/>
        <v>250</v>
      </c>
    </row>
    <row r="979" spans="1:5">
      <c r="A979" s="94" t="s">
        <v>424</v>
      </c>
      <c r="B979" s="95" t="s">
        <v>184</v>
      </c>
      <c r="C979" s="96">
        <v>4</v>
      </c>
      <c r="D979" s="97">
        <v>100</v>
      </c>
      <c r="E979" s="98">
        <f t="shared" si="38"/>
        <v>400</v>
      </c>
    </row>
    <row r="980" spans="1:5">
      <c r="A980" s="94" t="s">
        <v>425</v>
      </c>
      <c r="B980" s="95" t="s">
        <v>185</v>
      </c>
      <c r="C980" s="96">
        <v>7.0000000000000007E-2</v>
      </c>
      <c r="D980" s="97">
        <v>55000</v>
      </c>
      <c r="E980" s="98">
        <f t="shared" si="38"/>
        <v>3850</v>
      </c>
    </row>
    <row r="981" spans="1:5">
      <c r="A981" s="94" t="s">
        <v>426</v>
      </c>
      <c r="B981" s="95" t="s">
        <v>184</v>
      </c>
      <c r="C981" s="96">
        <v>0.3</v>
      </c>
      <c r="D981" s="97">
        <v>1000</v>
      </c>
      <c r="E981" s="98">
        <f t="shared" si="38"/>
        <v>300</v>
      </c>
    </row>
    <row r="982" spans="1:5">
      <c r="A982" s="94" t="s">
        <v>372</v>
      </c>
      <c r="B982" s="95" t="s">
        <v>185</v>
      </c>
      <c r="C982" s="96">
        <v>1</v>
      </c>
      <c r="D982" s="97">
        <v>1400</v>
      </c>
      <c r="E982" s="98">
        <f t="shared" si="38"/>
        <v>1400</v>
      </c>
    </row>
    <row r="983" spans="1:5">
      <c r="A983" s="94" t="s">
        <v>262</v>
      </c>
      <c r="B983" s="95" t="s">
        <v>263</v>
      </c>
      <c r="C983" s="96">
        <v>0.04</v>
      </c>
      <c r="D983" s="97">
        <v>70900</v>
      </c>
      <c r="E983" s="98">
        <f t="shared" si="38"/>
        <v>2836</v>
      </c>
    </row>
    <row r="984" spans="1:5">
      <c r="A984" s="99"/>
      <c r="B984" s="101">
        <f>+E984/D994</f>
        <v>0.41961428571428572</v>
      </c>
      <c r="C984" s="98"/>
      <c r="D984" s="99" t="s">
        <v>209</v>
      </c>
      <c r="E984" s="100">
        <f>SUM(E972:E983)</f>
        <v>29373</v>
      </c>
    </row>
    <row r="985" spans="1:5">
      <c r="A985" s="92" t="s">
        <v>210</v>
      </c>
      <c r="B985" s="93" t="s">
        <v>164</v>
      </c>
      <c r="C985" s="93" t="s">
        <v>2</v>
      </c>
      <c r="D985" s="93" t="s">
        <v>202</v>
      </c>
      <c r="E985" s="93" t="s">
        <v>203</v>
      </c>
    </row>
    <row r="986" spans="1:5">
      <c r="A986" s="94" t="s">
        <v>247</v>
      </c>
      <c r="B986" s="95" t="s">
        <v>212</v>
      </c>
      <c r="C986" s="96">
        <v>0.22373299999999999</v>
      </c>
      <c r="D986" s="97">
        <v>171670</v>
      </c>
      <c r="E986" s="98">
        <f>ROUND(C986*D986,0)</f>
        <v>38408</v>
      </c>
    </row>
    <row r="987" spans="1:5">
      <c r="A987" s="99"/>
      <c r="B987" s="101">
        <f>+E987/D994</f>
        <v>0.54868571428571433</v>
      </c>
      <c r="C987" s="98"/>
      <c r="D987" s="99" t="s">
        <v>209</v>
      </c>
      <c r="E987" s="100">
        <f>+E986</f>
        <v>38408</v>
      </c>
    </row>
    <row r="988" spans="1:5">
      <c r="A988" s="92" t="s">
        <v>218</v>
      </c>
      <c r="B988" s="93" t="s">
        <v>164</v>
      </c>
      <c r="C988" s="93" t="s">
        <v>2</v>
      </c>
      <c r="D988" s="93" t="s">
        <v>202</v>
      </c>
      <c r="E988" s="93" t="s">
        <v>203</v>
      </c>
    </row>
    <row r="989" spans="1:5">
      <c r="A989" s="94" t="s">
        <v>213</v>
      </c>
      <c r="B989" s="95" t="s">
        <v>214</v>
      </c>
      <c r="C989" s="96">
        <v>0.05</v>
      </c>
      <c r="D989" s="97">
        <f>+E984</f>
        <v>29373</v>
      </c>
      <c r="E989" s="98">
        <f>ROUND(C989*D989,0)</f>
        <v>1469</v>
      </c>
    </row>
    <row r="990" spans="1:5">
      <c r="A990" s="99"/>
      <c r="B990" s="101">
        <f>+E990/D994</f>
        <v>2.0985714285714285E-2</v>
      </c>
      <c r="C990" s="98"/>
      <c r="D990" s="99" t="s">
        <v>209</v>
      </c>
      <c r="E990" s="100">
        <f>SUM(E989:E989)</f>
        <v>1469</v>
      </c>
    </row>
    <row r="991" spans="1:5">
      <c r="A991" s="92" t="s">
        <v>219</v>
      </c>
      <c r="B991" s="93" t="s">
        <v>164</v>
      </c>
      <c r="C991" s="93" t="s">
        <v>2</v>
      </c>
      <c r="D991" s="93" t="s">
        <v>202</v>
      </c>
      <c r="E991" s="93" t="s">
        <v>203</v>
      </c>
    </row>
    <row r="992" spans="1:5">
      <c r="A992" s="94" t="s">
        <v>217</v>
      </c>
      <c r="B992" s="95" t="s">
        <v>190</v>
      </c>
      <c r="C992" s="96">
        <v>0.01</v>
      </c>
      <c r="D992" s="97">
        <v>75000</v>
      </c>
      <c r="E992" s="98">
        <f>ROUND(C992*D992,0)</f>
        <v>750</v>
      </c>
    </row>
    <row r="993" spans="1:5">
      <c r="A993" s="99"/>
      <c r="B993" s="101">
        <f>+E993/D994</f>
        <v>1.0714285714285714E-2</v>
      </c>
      <c r="C993" s="98"/>
      <c r="D993" s="99" t="s">
        <v>209</v>
      </c>
      <c r="E993" s="100">
        <f>SUM(E992:E992)</f>
        <v>750</v>
      </c>
    </row>
    <row r="994" spans="1:5">
      <c r="A994" s="213" t="s">
        <v>215</v>
      </c>
      <c r="B994" s="213"/>
      <c r="C994" s="213"/>
      <c r="D994" s="214">
        <f>+E993+E990+E987+E984</f>
        <v>70000</v>
      </c>
      <c r="E994" s="214"/>
    </row>
    <row r="996" spans="1:5" ht="20.25">
      <c r="A996" s="200" t="s">
        <v>216</v>
      </c>
      <c r="B996" s="201"/>
      <c r="C996" s="201"/>
      <c r="D996" s="201"/>
      <c r="E996" s="202"/>
    </row>
    <row r="997" spans="1:5">
      <c r="A997" s="203"/>
      <c r="B997" s="204"/>
      <c r="C997" s="205"/>
      <c r="D997" s="90" t="s">
        <v>199</v>
      </c>
      <c r="E997" s="90" t="s">
        <v>164</v>
      </c>
    </row>
    <row r="998" spans="1:5">
      <c r="A998" s="207"/>
      <c r="B998" s="208"/>
      <c r="C998" s="206"/>
      <c r="D998" s="91" t="s">
        <v>313</v>
      </c>
      <c r="E998" s="91" t="s">
        <v>189</v>
      </c>
    </row>
    <row r="999" spans="1:5" ht="15.75">
      <c r="A999" s="209" t="s">
        <v>200</v>
      </c>
      <c r="B999" s="209"/>
      <c r="C999" s="209"/>
      <c r="D999" s="209"/>
      <c r="E999" s="209"/>
    </row>
    <row r="1000" spans="1:5">
      <c r="A1000" s="215" t="s">
        <v>428</v>
      </c>
      <c r="B1000" s="216"/>
      <c r="C1000" s="216"/>
      <c r="D1000" s="216"/>
      <c r="E1000" s="217"/>
    </row>
    <row r="1001" spans="1:5">
      <c r="A1001" s="92" t="s">
        <v>201</v>
      </c>
      <c r="B1001" s="93" t="s">
        <v>164</v>
      </c>
      <c r="C1001" s="93" t="s">
        <v>2</v>
      </c>
      <c r="D1001" s="93" t="s">
        <v>202</v>
      </c>
      <c r="E1001" s="93" t="s">
        <v>203</v>
      </c>
    </row>
    <row r="1002" spans="1:5">
      <c r="A1002" s="94" t="s">
        <v>269</v>
      </c>
      <c r="B1002" s="95" t="s">
        <v>270</v>
      </c>
      <c r="C1002" s="96">
        <v>1.5E-3</v>
      </c>
      <c r="D1002" s="97">
        <v>248000</v>
      </c>
      <c r="E1002" s="98">
        <f>ROUND(C1002*D1002,0)</f>
        <v>372</v>
      </c>
    </row>
    <row r="1003" spans="1:5">
      <c r="A1003" s="103" t="s">
        <v>271</v>
      </c>
      <c r="B1003" s="95" t="s">
        <v>270</v>
      </c>
      <c r="C1003" s="96">
        <v>1.5E-3</v>
      </c>
      <c r="D1003" s="97">
        <v>360000</v>
      </c>
      <c r="E1003" s="98">
        <f t="shared" ref="E1003:E1004" si="39">ROUND(C1003*D1003,0)</f>
        <v>540</v>
      </c>
    </row>
    <row r="1004" spans="1:5">
      <c r="A1004" s="94" t="s">
        <v>429</v>
      </c>
      <c r="B1004" s="95" t="s">
        <v>189</v>
      </c>
      <c r="C1004" s="96">
        <v>1</v>
      </c>
      <c r="D1004" s="97">
        <v>25000</v>
      </c>
      <c r="E1004" s="98">
        <f t="shared" si="39"/>
        <v>25000</v>
      </c>
    </row>
    <row r="1005" spans="1:5">
      <c r="A1005" s="99"/>
      <c r="B1005" s="101">
        <f>+E1005/D1015</f>
        <v>0.47112727272727273</v>
      </c>
      <c r="C1005" s="98"/>
      <c r="D1005" s="99" t="s">
        <v>209</v>
      </c>
      <c r="E1005" s="100">
        <f>SUM(E1002:E1004)</f>
        <v>25912</v>
      </c>
    </row>
    <row r="1006" spans="1:5">
      <c r="A1006" s="92" t="s">
        <v>210</v>
      </c>
      <c r="B1006" s="93" t="s">
        <v>164</v>
      </c>
      <c r="C1006" s="93" t="s">
        <v>2</v>
      </c>
      <c r="D1006" s="93" t="s">
        <v>202</v>
      </c>
      <c r="E1006" s="93" t="s">
        <v>203</v>
      </c>
    </row>
    <row r="1007" spans="1:5">
      <c r="A1007" s="94" t="s">
        <v>247</v>
      </c>
      <c r="B1007" s="95" t="s">
        <v>212</v>
      </c>
      <c r="C1007" s="96">
        <v>0.148785</v>
      </c>
      <c r="D1007" s="97">
        <v>171670</v>
      </c>
      <c r="E1007" s="98">
        <f>ROUND(C1007*D1007,0)</f>
        <v>25542</v>
      </c>
    </row>
    <row r="1008" spans="1:5">
      <c r="A1008" s="99"/>
      <c r="B1008" s="101">
        <f>+E1008/D1015</f>
        <v>0.46439999999999998</v>
      </c>
      <c r="C1008" s="98"/>
      <c r="D1008" s="99" t="s">
        <v>209</v>
      </c>
      <c r="E1008" s="100">
        <f>+E1007</f>
        <v>25542</v>
      </c>
    </row>
    <row r="1009" spans="1:5">
      <c r="A1009" s="92" t="s">
        <v>218</v>
      </c>
      <c r="B1009" s="93" t="s">
        <v>164</v>
      </c>
      <c r="C1009" s="93" t="s">
        <v>2</v>
      </c>
      <c r="D1009" s="93" t="s">
        <v>202</v>
      </c>
      <c r="E1009" s="93" t="s">
        <v>203</v>
      </c>
    </row>
    <row r="1010" spans="1:5">
      <c r="A1010" s="94" t="s">
        <v>213</v>
      </c>
      <c r="B1010" s="95" t="s">
        <v>214</v>
      </c>
      <c r="C1010" s="96">
        <v>0.05</v>
      </c>
      <c r="D1010" s="97">
        <f>+E1005</f>
        <v>25912</v>
      </c>
      <c r="E1010" s="98">
        <f>ROUND(C1010*D1010,0)</f>
        <v>1296</v>
      </c>
    </row>
    <row r="1011" spans="1:5">
      <c r="A1011" s="99"/>
      <c r="B1011" s="101">
        <f>+E1011/D1015</f>
        <v>2.3563636363636363E-2</v>
      </c>
      <c r="C1011" s="98"/>
      <c r="D1011" s="99" t="s">
        <v>209</v>
      </c>
      <c r="E1011" s="100">
        <f>SUM(E1010:E1010)</f>
        <v>1296</v>
      </c>
    </row>
    <row r="1012" spans="1:5">
      <c r="A1012" s="92" t="s">
        <v>219</v>
      </c>
      <c r="B1012" s="93" t="s">
        <v>164</v>
      </c>
      <c r="C1012" s="93" t="s">
        <v>2</v>
      </c>
      <c r="D1012" s="93" t="s">
        <v>202</v>
      </c>
      <c r="E1012" s="93" t="s">
        <v>203</v>
      </c>
    </row>
    <row r="1013" spans="1:5">
      <c r="A1013" s="94" t="s">
        <v>217</v>
      </c>
      <c r="B1013" s="95" t="s">
        <v>190</v>
      </c>
      <c r="C1013" s="96">
        <v>0.03</v>
      </c>
      <c r="D1013" s="97">
        <v>75000</v>
      </c>
      <c r="E1013" s="98">
        <f>ROUND(C1013*D1013,0)</f>
        <v>2250</v>
      </c>
    </row>
    <row r="1014" spans="1:5">
      <c r="A1014" s="99"/>
      <c r="B1014" s="101">
        <f>+E1014/D1015</f>
        <v>4.0909090909090909E-2</v>
      </c>
      <c r="C1014" s="98"/>
      <c r="D1014" s="99" t="s">
        <v>209</v>
      </c>
      <c r="E1014" s="100">
        <f>SUM(E1013:E1013)</f>
        <v>2250</v>
      </c>
    </row>
    <row r="1015" spans="1:5">
      <c r="A1015" s="213" t="s">
        <v>215</v>
      </c>
      <c r="B1015" s="213"/>
      <c r="C1015" s="213"/>
      <c r="D1015" s="214">
        <f>+E1014+E1011+E1008+E1005</f>
        <v>55000</v>
      </c>
      <c r="E1015" s="214"/>
    </row>
    <row r="1017" spans="1:5" ht="20.25">
      <c r="A1017" s="200" t="s">
        <v>216</v>
      </c>
      <c r="B1017" s="201"/>
      <c r="C1017" s="201"/>
      <c r="D1017" s="201"/>
      <c r="E1017" s="202"/>
    </row>
    <row r="1018" spans="1:5">
      <c r="A1018" s="203"/>
      <c r="B1018" s="204"/>
      <c r="C1018" s="205"/>
      <c r="D1018" s="90" t="s">
        <v>199</v>
      </c>
      <c r="E1018" s="90" t="s">
        <v>164</v>
      </c>
    </row>
    <row r="1019" spans="1:5">
      <c r="A1019" s="207"/>
      <c r="B1019" s="208"/>
      <c r="C1019" s="206"/>
      <c r="D1019" s="91" t="s">
        <v>314</v>
      </c>
      <c r="E1019" s="91" t="s">
        <v>189</v>
      </c>
    </row>
    <row r="1020" spans="1:5" ht="15.75">
      <c r="A1020" s="209" t="s">
        <v>200</v>
      </c>
      <c r="B1020" s="209"/>
      <c r="C1020" s="209"/>
      <c r="D1020" s="209"/>
      <c r="E1020" s="209"/>
    </row>
    <row r="1021" spans="1:5">
      <c r="A1021" s="215" t="s">
        <v>430</v>
      </c>
      <c r="B1021" s="216"/>
      <c r="C1021" s="216"/>
      <c r="D1021" s="216"/>
      <c r="E1021" s="217"/>
    </row>
    <row r="1022" spans="1:5">
      <c r="A1022" s="92" t="s">
        <v>201</v>
      </c>
      <c r="B1022" s="93" t="s">
        <v>164</v>
      </c>
      <c r="C1022" s="93" t="s">
        <v>2</v>
      </c>
      <c r="D1022" s="93" t="s">
        <v>202</v>
      </c>
      <c r="E1022" s="93" t="s">
        <v>203</v>
      </c>
    </row>
    <row r="1023" spans="1:5">
      <c r="A1023" s="94" t="s">
        <v>269</v>
      </c>
      <c r="B1023" s="95" t="s">
        <v>270</v>
      </c>
      <c r="C1023" s="96">
        <v>1.5E-3</v>
      </c>
      <c r="D1023" s="97">
        <v>248000</v>
      </c>
      <c r="E1023" s="98">
        <f>ROUND(C1023*D1023,0)</f>
        <v>372</v>
      </c>
    </row>
    <row r="1024" spans="1:5">
      <c r="A1024" s="103" t="s">
        <v>271</v>
      </c>
      <c r="B1024" s="95" t="s">
        <v>270</v>
      </c>
      <c r="C1024" s="96">
        <v>1.5E-3</v>
      </c>
      <c r="D1024" s="97">
        <v>360000</v>
      </c>
      <c r="E1024" s="98">
        <f t="shared" ref="E1024:E1025" si="40">ROUND(C1024*D1024,0)</f>
        <v>540</v>
      </c>
    </row>
    <row r="1025" spans="1:5">
      <c r="A1025" s="94" t="s">
        <v>431</v>
      </c>
      <c r="B1025" s="95" t="s">
        <v>189</v>
      </c>
      <c r="C1025" s="96">
        <v>1</v>
      </c>
      <c r="D1025" s="97">
        <v>16500</v>
      </c>
      <c r="E1025" s="98">
        <f t="shared" si="40"/>
        <v>16500</v>
      </c>
    </row>
    <row r="1026" spans="1:5">
      <c r="A1026" s="99"/>
      <c r="B1026" s="101">
        <f>+E1026/D1036</f>
        <v>0.38693333333333335</v>
      </c>
      <c r="C1026" s="98"/>
      <c r="D1026" s="99" t="s">
        <v>209</v>
      </c>
      <c r="E1026" s="100">
        <f>SUM(E1023:E1025)</f>
        <v>17412</v>
      </c>
    </row>
    <row r="1027" spans="1:5">
      <c r="A1027" s="92" t="s">
        <v>210</v>
      </c>
      <c r="B1027" s="93" t="s">
        <v>164</v>
      </c>
      <c r="C1027" s="93" t="s">
        <v>2</v>
      </c>
      <c r="D1027" s="93" t="s">
        <v>202</v>
      </c>
      <c r="E1027" s="93" t="s">
        <v>203</v>
      </c>
    </row>
    <row r="1028" spans="1:5">
      <c r="A1028" s="94" t="s">
        <v>247</v>
      </c>
      <c r="B1028" s="95" t="s">
        <v>212</v>
      </c>
      <c r="C1028" s="96">
        <v>0.14252500000000001</v>
      </c>
      <c r="D1028" s="97">
        <v>171670</v>
      </c>
      <c r="E1028" s="98">
        <f>ROUND(C1028*D1028,0)</f>
        <v>24467</v>
      </c>
    </row>
    <row r="1029" spans="1:5">
      <c r="A1029" s="99"/>
      <c r="B1029" s="101">
        <f>+E1029/D1036</f>
        <v>0.54371111111111115</v>
      </c>
      <c r="C1029" s="98"/>
      <c r="D1029" s="99" t="s">
        <v>209</v>
      </c>
      <c r="E1029" s="100">
        <f>+E1028</f>
        <v>24467</v>
      </c>
    </row>
    <row r="1030" spans="1:5">
      <c r="A1030" s="92" t="s">
        <v>218</v>
      </c>
      <c r="B1030" s="93" t="s">
        <v>164</v>
      </c>
      <c r="C1030" s="93" t="s">
        <v>2</v>
      </c>
      <c r="D1030" s="93" t="s">
        <v>202</v>
      </c>
      <c r="E1030" s="93" t="s">
        <v>203</v>
      </c>
    </row>
    <row r="1031" spans="1:5">
      <c r="A1031" s="94" t="s">
        <v>213</v>
      </c>
      <c r="B1031" s="95" t="s">
        <v>214</v>
      </c>
      <c r="C1031" s="96">
        <v>0.05</v>
      </c>
      <c r="D1031" s="97">
        <f>+E1026</f>
        <v>17412</v>
      </c>
      <c r="E1031" s="98">
        <f>ROUND(C1031*D1031,0)</f>
        <v>871</v>
      </c>
    </row>
    <row r="1032" spans="1:5">
      <c r="A1032" s="99"/>
      <c r="B1032" s="101">
        <f>+E1032/D1036</f>
        <v>1.9355555555555556E-2</v>
      </c>
      <c r="C1032" s="98"/>
      <c r="D1032" s="99" t="s">
        <v>209</v>
      </c>
      <c r="E1032" s="100">
        <f>SUM(E1031:E1031)</f>
        <v>871</v>
      </c>
    </row>
    <row r="1033" spans="1:5">
      <c r="A1033" s="92" t="s">
        <v>219</v>
      </c>
      <c r="B1033" s="93" t="s">
        <v>164</v>
      </c>
      <c r="C1033" s="93" t="s">
        <v>2</v>
      </c>
      <c r="D1033" s="93" t="s">
        <v>202</v>
      </c>
      <c r="E1033" s="93" t="s">
        <v>203</v>
      </c>
    </row>
    <row r="1034" spans="1:5">
      <c r="A1034" s="94" t="s">
        <v>217</v>
      </c>
      <c r="B1034" s="95" t="s">
        <v>190</v>
      </c>
      <c r="C1034" s="96">
        <v>0.03</v>
      </c>
      <c r="D1034" s="97">
        <v>75000</v>
      </c>
      <c r="E1034" s="98">
        <f>ROUND(C1034*D1034,0)</f>
        <v>2250</v>
      </c>
    </row>
    <row r="1035" spans="1:5">
      <c r="A1035" s="99"/>
      <c r="B1035" s="101">
        <f>+E1035/D1036</f>
        <v>0.05</v>
      </c>
      <c r="C1035" s="98"/>
      <c r="D1035" s="99" t="s">
        <v>209</v>
      </c>
      <c r="E1035" s="100">
        <f>SUM(E1034:E1034)</f>
        <v>2250</v>
      </c>
    </row>
    <row r="1036" spans="1:5">
      <c r="A1036" s="213" t="s">
        <v>215</v>
      </c>
      <c r="B1036" s="213"/>
      <c r="C1036" s="213"/>
      <c r="D1036" s="214">
        <f>+E1035+E1032+E1029+E1026</f>
        <v>45000</v>
      </c>
      <c r="E1036" s="214"/>
    </row>
    <row r="1038" spans="1:5" ht="20.25">
      <c r="A1038" s="200" t="s">
        <v>216</v>
      </c>
      <c r="B1038" s="201"/>
      <c r="C1038" s="201"/>
      <c r="D1038" s="201"/>
      <c r="E1038" s="202"/>
    </row>
    <row r="1039" spans="1:5">
      <c r="A1039" s="203"/>
      <c r="B1039" s="204"/>
      <c r="C1039" s="205"/>
      <c r="D1039" s="90" t="s">
        <v>199</v>
      </c>
      <c r="E1039" s="90" t="s">
        <v>164</v>
      </c>
    </row>
    <row r="1040" spans="1:5">
      <c r="A1040" s="207"/>
      <c r="B1040" s="208"/>
      <c r="C1040" s="206"/>
      <c r="D1040" s="91" t="s">
        <v>315</v>
      </c>
      <c r="E1040" s="91" t="s">
        <v>189</v>
      </c>
    </row>
    <row r="1041" spans="1:5" ht="15.75">
      <c r="A1041" s="209" t="s">
        <v>200</v>
      </c>
      <c r="B1041" s="209"/>
      <c r="C1041" s="209"/>
      <c r="D1041" s="209"/>
      <c r="E1041" s="209"/>
    </row>
    <row r="1042" spans="1:5">
      <c r="A1042" s="215" t="s">
        <v>432</v>
      </c>
      <c r="B1042" s="216"/>
      <c r="C1042" s="216"/>
      <c r="D1042" s="216"/>
      <c r="E1042" s="217"/>
    </row>
    <row r="1043" spans="1:5">
      <c r="A1043" s="92" t="s">
        <v>201</v>
      </c>
      <c r="B1043" s="93" t="s">
        <v>164</v>
      </c>
      <c r="C1043" s="93" t="s">
        <v>2</v>
      </c>
      <c r="D1043" s="93" t="s">
        <v>202</v>
      </c>
      <c r="E1043" s="93" t="s">
        <v>203</v>
      </c>
    </row>
    <row r="1044" spans="1:5">
      <c r="A1044" s="94" t="s">
        <v>269</v>
      </c>
      <c r="B1044" s="95" t="s">
        <v>270</v>
      </c>
      <c r="C1044" s="96">
        <v>1.2999999999999999E-3</v>
      </c>
      <c r="D1044" s="97">
        <v>248000</v>
      </c>
      <c r="E1044" s="98">
        <f>ROUND(C1044*D1044,0)</f>
        <v>322</v>
      </c>
    </row>
    <row r="1045" spans="1:5">
      <c r="A1045" s="103" t="s">
        <v>271</v>
      </c>
      <c r="B1045" s="95" t="s">
        <v>270</v>
      </c>
      <c r="C1045" s="96">
        <v>1.2999999999999999E-3</v>
      </c>
      <c r="D1045" s="97">
        <v>360000</v>
      </c>
      <c r="E1045" s="98">
        <f t="shared" ref="E1045:E1046" si="41">ROUND(C1045*D1045,0)</f>
        <v>468</v>
      </c>
    </row>
    <row r="1046" spans="1:5">
      <c r="A1046" s="94" t="s">
        <v>433</v>
      </c>
      <c r="B1046" s="95" t="s">
        <v>189</v>
      </c>
      <c r="C1046" s="96">
        <v>1</v>
      </c>
      <c r="D1046" s="97">
        <v>11000</v>
      </c>
      <c r="E1046" s="98">
        <f t="shared" si="41"/>
        <v>11000</v>
      </c>
    </row>
    <row r="1047" spans="1:5">
      <c r="A1047" s="99"/>
      <c r="B1047" s="101">
        <f>+E1047/D1057</f>
        <v>0.29475000000000001</v>
      </c>
      <c r="C1047" s="98"/>
      <c r="D1047" s="99" t="s">
        <v>209</v>
      </c>
      <c r="E1047" s="100">
        <f>SUM(E1044:E1046)</f>
        <v>11790</v>
      </c>
    </row>
    <row r="1048" spans="1:5">
      <c r="A1048" s="92" t="s">
        <v>210</v>
      </c>
      <c r="B1048" s="93" t="s">
        <v>164</v>
      </c>
      <c r="C1048" s="93" t="s">
        <v>2</v>
      </c>
      <c r="D1048" s="93" t="s">
        <v>202</v>
      </c>
      <c r="E1048" s="93" t="s">
        <v>203</v>
      </c>
    </row>
    <row r="1049" spans="1:5">
      <c r="A1049" s="94" t="s">
        <v>247</v>
      </c>
      <c r="B1049" s="95" t="s">
        <v>212</v>
      </c>
      <c r="C1049" s="96">
        <v>0.147781</v>
      </c>
      <c r="D1049" s="97">
        <v>171670</v>
      </c>
      <c r="E1049" s="98">
        <f>ROUND(C1049*D1049,0)</f>
        <v>25370</v>
      </c>
    </row>
    <row r="1050" spans="1:5">
      <c r="A1050" s="99"/>
      <c r="B1050" s="101">
        <f>+E1050/D1057</f>
        <v>0.63424999999999998</v>
      </c>
      <c r="C1050" s="98"/>
      <c r="D1050" s="99" t="s">
        <v>209</v>
      </c>
      <c r="E1050" s="100">
        <f>+E1049</f>
        <v>25370</v>
      </c>
    </row>
    <row r="1051" spans="1:5">
      <c r="A1051" s="92" t="s">
        <v>218</v>
      </c>
      <c r="B1051" s="93" t="s">
        <v>164</v>
      </c>
      <c r="C1051" s="93" t="s">
        <v>2</v>
      </c>
      <c r="D1051" s="93" t="s">
        <v>202</v>
      </c>
      <c r="E1051" s="93" t="s">
        <v>203</v>
      </c>
    </row>
    <row r="1052" spans="1:5">
      <c r="A1052" s="94" t="s">
        <v>213</v>
      </c>
      <c r="B1052" s="95" t="s">
        <v>214</v>
      </c>
      <c r="C1052" s="96">
        <v>0.05</v>
      </c>
      <c r="D1052" s="97">
        <f>+E1047</f>
        <v>11790</v>
      </c>
      <c r="E1052" s="98">
        <f>ROUND(C1052*D1052,0)</f>
        <v>590</v>
      </c>
    </row>
    <row r="1053" spans="1:5">
      <c r="A1053" s="99"/>
      <c r="B1053" s="101">
        <f>+E1053/D1057</f>
        <v>1.4749999999999999E-2</v>
      </c>
      <c r="C1053" s="98"/>
      <c r="D1053" s="99" t="s">
        <v>209</v>
      </c>
      <c r="E1053" s="100">
        <f>SUM(E1052:E1052)</f>
        <v>590</v>
      </c>
    </row>
    <row r="1054" spans="1:5">
      <c r="A1054" s="92" t="s">
        <v>219</v>
      </c>
      <c r="B1054" s="93" t="s">
        <v>164</v>
      </c>
      <c r="C1054" s="93" t="s">
        <v>2</v>
      </c>
      <c r="D1054" s="93" t="s">
        <v>202</v>
      </c>
      <c r="E1054" s="93" t="s">
        <v>203</v>
      </c>
    </row>
    <row r="1055" spans="1:5">
      <c r="A1055" s="94" t="s">
        <v>217</v>
      </c>
      <c r="B1055" s="95" t="s">
        <v>190</v>
      </c>
      <c r="C1055" s="96">
        <v>0.03</v>
      </c>
      <c r="D1055" s="97">
        <v>75000</v>
      </c>
      <c r="E1055" s="98">
        <f>ROUND(C1055*D1055,0)</f>
        <v>2250</v>
      </c>
    </row>
    <row r="1056" spans="1:5">
      <c r="A1056" s="99"/>
      <c r="B1056" s="101">
        <f>+E1056/D1057</f>
        <v>5.6250000000000001E-2</v>
      </c>
      <c r="C1056" s="98"/>
      <c r="D1056" s="99" t="s">
        <v>209</v>
      </c>
      <c r="E1056" s="100">
        <f>SUM(E1055:E1055)</f>
        <v>2250</v>
      </c>
    </row>
    <row r="1057" spans="1:5">
      <c r="A1057" s="213" t="s">
        <v>215</v>
      </c>
      <c r="B1057" s="213"/>
      <c r="C1057" s="213"/>
      <c r="D1057" s="214">
        <f>+E1056+E1053+E1050+E1047</f>
        <v>40000</v>
      </c>
      <c r="E1057" s="214"/>
    </row>
    <row r="1059" spans="1:5" ht="20.25">
      <c r="A1059" s="200" t="s">
        <v>216</v>
      </c>
      <c r="B1059" s="201"/>
      <c r="C1059" s="201"/>
      <c r="D1059" s="201"/>
      <c r="E1059" s="202"/>
    </row>
    <row r="1060" spans="1:5">
      <c r="A1060" s="203"/>
      <c r="B1060" s="204"/>
      <c r="C1060" s="205"/>
      <c r="D1060" s="90" t="s">
        <v>199</v>
      </c>
      <c r="E1060" s="90" t="s">
        <v>164</v>
      </c>
    </row>
    <row r="1061" spans="1:5">
      <c r="A1061" s="207"/>
      <c r="B1061" s="208"/>
      <c r="C1061" s="206"/>
      <c r="D1061" s="91" t="s">
        <v>316</v>
      </c>
      <c r="E1061" s="91" t="s">
        <v>189</v>
      </c>
    </row>
    <row r="1062" spans="1:5" ht="15.75">
      <c r="A1062" s="209" t="s">
        <v>200</v>
      </c>
      <c r="B1062" s="209"/>
      <c r="C1062" s="209"/>
      <c r="D1062" s="209"/>
      <c r="E1062" s="209"/>
    </row>
    <row r="1063" spans="1:5">
      <c r="A1063" s="215" t="s">
        <v>434</v>
      </c>
      <c r="B1063" s="216"/>
      <c r="C1063" s="216"/>
      <c r="D1063" s="216"/>
      <c r="E1063" s="217"/>
    </row>
    <row r="1064" spans="1:5">
      <c r="A1064" s="92" t="s">
        <v>201</v>
      </c>
      <c r="B1064" s="93" t="s">
        <v>164</v>
      </c>
      <c r="C1064" s="93" t="s">
        <v>2</v>
      </c>
      <c r="D1064" s="93" t="s">
        <v>202</v>
      </c>
      <c r="E1064" s="93" t="s">
        <v>203</v>
      </c>
    </row>
    <row r="1065" spans="1:5">
      <c r="A1065" s="94" t="s">
        <v>269</v>
      </c>
      <c r="B1065" s="95" t="s">
        <v>270</v>
      </c>
      <c r="C1065" s="96">
        <v>1.2999999999999999E-3</v>
      </c>
      <c r="D1065" s="97">
        <v>248000</v>
      </c>
      <c r="E1065" s="98">
        <f>ROUND(C1065*D1065,0)</f>
        <v>322</v>
      </c>
    </row>
    <row r="1066" spans="1:5">
      <c r="A1066" s="103" t="s">
        <v>271</v>
      </c>
      <c r="B1066" s="95" t="s">
        <v>270</v>
      </c>
      <c r="C1066" s="96">
        <v>1.2999999999999999E-3</v>
      </c>
      <c r="D1066" s="97">
        <v>360000</v>
      </c>
      <c r="E1066" s="98">
        <f t="shared" ref="E1066:E1067" si="42">ROUND(C1066*D1066,0)</f>
        <v>468</v>
      </c>
    </row>
    <row r="1067" spans="1:5">
      <c r="A1067" s="94" t="s">
        <v>435</v>
      </c>
      <c r="B1067" s="95" t="s">
        <v>189</v>
      </c>
      <c r="C1067" s="96">
        <v>1</v>
      </c>
      <c r="D1067" s="97">
        <v>9500</v>
      </c>
      <c r="E1067" s="98">
        <f t="shared" si="42"/>
        <v>9500</v>
      </c>
    </row>
    <row r="1068" spans="1:5">
      <c r="A1068" s="99"/>
      <c r="B1068" s="101">
        <f>+E1068/D1078</f>
        <v>0.29399999999999998</v>
      </c>
      <c r="C1068" s="98"/>
      <c r="D1068" s="99" t="s">
        <v>209</v>
      </c>
      <c r="E1068" s="100">
        <f>SUM(E1065:E1067)</f>
        <v>10290</v>
      </c>
    </row>
    <row r="1069" spans="1:5">
      <c r="A1069" s="92" t="s">
        <v>210</v>
      </c>
      <c r="B1069" s="93" t="s">
        <v>164</v>
      </c>
      <c r="C1069" s="93" t="s">
        <v>2</v>
      </c>
      <c r="D1069" s="93" t="s">
        <v>202</v>
      </c>
      <c r="E1069" s="93" t="s">
        <v>203</v>
      </c>
    </row>
    <row r="1070" spans="1:5">
      <c r="A1070" s="94" t="s">
        <v>247</v>
      </c>
      <c r="B1070" s="95" t="s">
        <v>212</v>
      </c>
      <c r="C1070" s="96">
        <v>0.127835</v>
      </c>
      <c r="D1070" s="97">
        <v>171670</v>
      </c>
      <c r="E1070" s="98">
        <f>ROUND(C1070*D1070,0)</f>
        <v>21945</v>
      </c>
    </row>
    <row r="1071" spans="1:5">
      <c r="A1071" s="99"/>
      <c r="B1071" s="101">
        <f>+E1071/D1078</f>
        <v>0.627</v>
      </c>
      <c r="C1071" s="98"/>
      <c r="D1071" s="99" t="s">
        <v>209</v>
      </c>
      <c r="E1071" s="100">
        <f>+E1070</f>
        <v>21945</v>
      </c>
    </row>
    <row r="1072" spans="1:5">
      <c r="A1072" s="92" t="s">
        <v>218</v>
      </c>
      <c r="B1072" s="93" t="s">
        <v>164</v>
      </c>
      <c r="C1072" s="93" t="s">
        <v>2</v>
      </c>
      <c r="D1072" s="93" t="s">
        <v>202</v>
      </c>
      <c r="E1072" s="93" t="s">
        <v>203</v>
      </c>
    </row>
    <row r="1073" spans="1:5">
      <c r="A1073" s="94" t="s">
        <v>213</v>
      </c>
      <c r="B1073" s="95" t="s">
        <v>214</v>
      </c>
      <c r="C1073" s="96">
        <v>0.05</v>
      </c>
      <c r="D1073" s="97">
        <f>+E1068</f>
        <v>10290</v>
      </c>
      <c r="E1073" s="98">
        <f>ROUND(C1073*D1073,0)</f>
        <v>515</v>
      </c>
    </row>
    <row r="1074" spans="1:5">
      <c r="A1074" s="99"/>
      <c r="B1074" s="101">
        <f>+E1074/D1078</f>
        <v>1.4714285714285714E-2</v>
      </c>
      <c r="C1074" s="98"/>
      <c r="D1074" s="99" t="s">
        <v>209</v>
      </c>
      <c r="E1074" s="100">
        <f>SUM(E1073:E1073)</f>
        <v>515</v>
      </c>
    </row>
    <row r="1075" spans="1:5">
      <c r="A1075" s="92" t="s">
        <v>219</v>
      </c>
      <c r="B1075" s="93" t="s">
        <v>164</v>
      </c>
      <c r="C1075" s="93" t="s">
        <v>2</v>
      </c>
      <c r="D1075" s="93" t="s">
        <v>202</v>
      </c>
      <c r="E1075" s="93" t="s">
        <v>203</v>
      </c>
    </row>
    <row r="1076" spans="1:5">
      <c r="A1076" s="94" t="s">
        <v>217</v>
      </c>
      <c r="B1076" s="95" t="s">
        <v>190</v>
      </c>
      <c r="C1076" s="96">
        <v>0.03</v>
      </c>
      <c r="D1076" s="97">
        <v>75000</v>
      </c>
      <c r="E1076" s="98">
        <f>ROUND(C1076*D1076,0)</f>
        <v>2250</v>
      </c>
    </row>
    <row r="1077" spans="1:5">
      <c r="A1077" s="99"/>
      <c r="B1077" s="101">
        <f>+E1077/D1078</f>
        <v>6.4285714285714279E-2</v>
      </c>
      <c r="C1077" s="98"/>
      <c r="D1077" s="99" t="s">
        <v>209</v>
      </c>
      <c r="E1077" s="100">
        <f>SUM(E1076:E1076)</f>
        <v>2250</v>
      </c>
    </row>
    <row r="1078" spans="1:5">
      <c r="A1078" s="213" t="s">
        <v>215</v>
      </c>
      <c r="B1078" s="213"/>
      <c r="C1078" s="213"/>
      <c r="D1078" s="214">
        <f>+E1077+E1074+E1071+E1068</f>
        <v>35000</v>
      </c>
      <c r="E1078" s="214"/>
    </row>
    <row r="1080" spans="1:5" ht="20.25">
      <c r="A1080" s="200" t="s">
        <v>216</v>
      </c>
      <c r="B1080" s="201"/>
      <c r="C1080" s="201"/>
      <c r="D1080" s="201"/>
      <c r="E1080" s="202"/>
    </row>
    <row r="1081" spans="1:5">
      <c r="A1081" s="203"/>
      <c r="B1081" s="204"/>
      <c r="C1081" s="205"/>
      <c r="D1081" s="90" t="s">
        <v>199</v>
      </c>
      <c r="E1081" s="90" t="s">
        <v>164</v>
      </c>
    </row>
    <row r="1082" spans="1:5">
      <c r="A1082" s="207"/>
      <c r="B1082" s="208"/>
      <c r="C1082" s="206"/>
      <c r="D1082" s="91" t="s">
        <v>317</v>
      </c>
      <c r="E1082" s="91" t="s">
        <v>189</v>
      </c>
    </row>
    <row r="1083" spans="1:5" ht="15.75">
      <c r="A1083" s="209" t="s">
        <v>200</v>
      </c>
      <c r="B1083" s="209"/>
      <c r="C1083" s="209"/>
      <c r="D1083" s="209"/>
      <c r="E1083" s="209"/>
    </row>
    <row r="1084" spans="1:5">
      <c r="A1084" s="215" t="s">
        <v>297</v>
      </c>
      <c r="B1084" s="216"/>
      <c r="C1084" s="216"/>
      <c r="D1084" s="216"/>
      <c r="E1084" s="217"/>
    </row>
    <row r="1085" spans="1:5">
      <c r="A1085" s="92" t="s">
        <v>201</v>
      </c>
      <c r="B1085" s="93" t="s">
        <v>164</v>
      </c>
      <c r="C1085" s="93" t="s">
        <v>2</v>
      </c>
      <c r="D1085" s="93" t="s">
        <v>202</v>
      </c>
      <c r="E1085" s="93" t="s">
        <v>203</v>
      </c>
    </row>
    <row r="1086" spans="1:5">
      <c r="A1086" s="94" t="s">
        <v>269</v>
      </c>
      <c r="B1086" s="95" t="s">
        <v>270</v>
      </c>
      <c r="C1086" s="96">
        <v>1.2999999999999999E-3</v>
      </c>
      <c r="D1086" s="97">
        <v>248000</v>
      </c>
      <c r="E1086" s="98">
        <f>ROUND(C1086*D1086,0)</f>
        <v>322</v>
      </c>
    </row>
    <row r="1087" spans="1:5">
      <c r="A1087" s="103" t="s">
        <v>271</v>
      </c>
      <c r="B1087" s="95" t="s">
        <v>270</v>
      </c>
      <c r="C1087" s="96">
        <v>1.2999999999999999E-3</v>
      </c>
      <c r="D1087" s="97">
        <v>360000</v>
      </c>
      <c r="E1087" s="98">
        <f t="shared" ref="E1087:E1088" si="43">ROUND(C1087*D1087,0)</f>
        <v>468</v>
      </c>
    </row>
    <row r="1088" spans="1:5">
      <c r="A1088" s="94" t="s">
        <v>436</v>
      </c>
      <c r="B1088" s="95" t="s">
        <v>189</v>
      </c>
      <c r="C1088" s="96">
        <v>1</v>
      </c>
      <c r="D1088" s="97">
        <v>6000</v>
      </c>
      <c r="E1088" s="98">
        <f t="shared" si="43"/>
        <v>6000</v>
      </c>
    </row>
    <row r="1089" spans="1:5">
      <c r="A1089" s="99"/>
      <c r="B1089" s="101">
        <f>+E1089/D1099</f>
        <v>0.19400000000000001</v>
      </c>
      <c r="C1089" s="98"/>
      <c r="D1089" s="99" t="s">
        <v>209</v>
      </c>
      <c r="E1089" s="100">
        <f>SUM(E1086:E1088)</f>
        <v>6790</v>
      </c>
    </row>
    <row r="1090" spans="1:5">
      <c r="A1090" s="92" t="s">
        <v>210</v>
      </c>
      <c r="B1090" s="93" t="s">
        <v>164</v>
      </c>
      <c r="C1090" s="93" t="s">
        <v>2</v>
      </c>
      <c r="D1090" s="93" t="s">
        <v>202</v>
      </c>
      <c r="E1090" s="93" t="s">
        <v>203</v>
      </c>
    </row>
    <row r="1091" spans="1:5">
      <c r="A1091" s="94" t="s">
        <v>247</v>
      </c>
      <c r="B1091" s="95" t="s">
        <v>212</v>
      </c>
      <c r="C1091" s="96">
        <v>0.14923700000000001</v>
      </c>
      <c r="D1091" s="97">
        <v>171670</v>
      </c>
      <c r="E1091" s="98">
        <f>ROUND(C1091*D1091,0)</f>
        <v>25620</v>
      </c>
    </row>
    <row r="1092" spans="1:5">
      <c r="A1092" s="99"/>
      <c r="B1092" s="101">
        <f>+E1092/D1099</f>
        <v>0.73199999999999998</v>
      </c>
      <c r="C1092" s="98"/>
      <c r="D1092" s="99" t="s">
        <v>209</v>
      </c>
      <c r="E1092" s="100">
        <f>+E1091</f>
        <v>25620</v>
      </c>
    </row>
    <row r="1093" spans="1:5">
      <c r="A1093" s="92" t="s">
        <v>218</v>
      </c>
      <c r="B1093" s="93" t="s">
        <v>164</v>
      </c>
      <c r="C1093" s="93" t="s">
        <v>2</v>
      </c>
      <c r="D1093" s="93" t="s">
        <v>202</v>
      </c>
      <c r="E1093" s="93" t="s">
        <v>203</v>
      </c>
    </row>
    <row r="1094" spans="1:5">
      <c r="A1094" s="94" t="s">
        <v>213</v>
      </c>
      <c r="B1094" s="95" t="s">
        <v>214</v>
      </c>
      <c r="C1094" s="96">
        <v>0.05</v>
      </c>
      <c r="D1094" s="97">
        <f>+E1089</f>
        <v>6790</v>
      </c>
      <c r="E1094" s="98">
        <f>ROUND(C1094*D1094,0)</f>
        <v>340</v>
      </c>
    </row>
    <row r="1095" spans="1:5">
      <c r="A1095" s="99"/>
      <c r="B1095" s="101">
        <f>+E1095/D1099</f>
        <v>9.7142857142857135E-3</v>
      </c>
      <c r="C1095" s="98"/>
      <c r="D1095" s="99" t="s">
        <v>209</v>
      </c>
      <c r="E1095" s="100">
        <f>SUM(E1094:E1094)</f>
        <v>340</v>
      </c>
    </row>
    <row r="1096" spans="1:5">
      <c r="A1096" s="92" t="s">
        <v>219</v>
      </c>
      <c r="B1096" s="93" t="s">
        <v>164</v>
      </c>
      <c r="C1096" s="93" t="s">
        <v>2</v>
      </c>
      <c r="D1096" s="93" t="s">
        <v>202</v>
      </c>
      <c r="E1096" s="93" t="s">
        <v>203</v>
      </c>
    </row>
    <row r="1097" spans="1:5">
      <c r="A1097" s="94" t="s">
        <v>217</v>
      </c>
      <c r="B1097" s="95" t="s">
        <v>190</v>
      </c>
      <c r="C1097" s="96">
        <v>0.03</v>
      </c>
      <c r="D1097" s="97">
        <v>75000</v>
      </c>
      <c r="E1097" s="98">
        <f>ROUND(C1097*D1097,0)</f>
        <v>2250</v>
      </c>
    </row>
    <row r="1098" spans="1:5">
      <c r="A1098" s="99"/>
      <c r="B1098" s="101">
        <f>+E1098/D1099</f>
        <v>6.4285714285714279E-2</v>
      </c>
      <c r="C1098" s="98"/>
      <c r="D1098" s="99" t="s">
        <v>209</v>
      </c>
      <c r="E1098" s="100">
        <f>SUM(E1097:E1097)</f>
        <v>2250</v>
      </c>
    </row>
    <row r="1099" spans="1:5">
      <c r="A1099" s="213" t="s">
        <v>215</v>
      </c>
      <c r="B1099" s="213"/>
      <c r="C1099" s="213"/>
      <c r="D1099" s="214">
        <f>+E1098+E1095+E1092+E1089</f>
        <v>35000</v>
      </c>
      <c r="E1099" s="214"/>
    </row>
    <row r="1101" spans="1:5" ht="20.25">
      <c r="A1101" s="200" t="s">
        <v>216</v>
      </c>
      <c r="B1101" s="201"/>
      <c r="C1101" s="201"/>
      <c r="D1101" s="201"/>
      <c r="E1101" s="202"/>
    </row>
    <row r="1102" spans="1:5">
      <c r="A1102" s="203"/>
      <c r="B1102" s="204"/>
      <c r="C1102" s="205"/>
      <c r="D1102" s="90" t="s">
        <v>199</v>
      </c>
      <c r="E1102" s="90" t="s">
        <v>164</v>
      </c>
    </row>
    <row r="1103" spans="1:5">
      <c r="A1103" s="207"/>
      <c r="B1103" s="208"/>
      <c r="C1103" s="206"/>
      <c r="D1103" s="91" t="s">
        <v>318</v>
      </c>
      <c r="E1103" s="91" t="s">
        <v>189</v>
      </c>
    </row>
    <row r="1104" spans="1:5" ht="15.75">
      <c r="A1104" s="209" t="s">
        <v>200</v>
      </c>
      <c r="B1104" s="209"/>
      <c r="C1104" s="209"/>
      <c r="D1104" s="209"/>
      <c r="E1104" s="209"/>
    </row>
    <row r="1105" spans="1:5">
      <c r="A1105" s="215" t="s">
        <v>298</v>
      </c>
      <c r="B1105" s="216"/>
      <c r="C1105" s="216"/>
      <c r="D1105" s="216"/>
      <c r="E1105" s="217"/>
    </row>
    <row r="1106" spans="1:5">
      <c r="A1106" s="92" t="s">
        <v>201</v>
      </c>
      <c r="B1106" s="93" t="s">
        <v>164</v>
      </c>
      <c r="C1106" s="93" t="s">
        <v>2</v>
      </c>
      <c r="D1106" s="93" t="s">
        <v>202</v>
      </c>
      <c r="E1106" s="93" t="s">
        <v>203</v>
      </c>
    </row>
    <row r="1107" spans="1:5">
      <c r="A1107" s="94" t="s">
        <v>269</v>
      </c>
      <c r="B1107" s="95" t="s">
        <v>270</v>
      </c>
      <c r="C1107" s="96">
        <v>1.2999999999999999E-3</v>
      </c>
      <c r="D1107" s="97">
        <v>248000</v>
      </c>
      <c r="E1107" s="98">
        <f>ROUND(C1107*D1107,0)</f>
        <v>322</v>
      </c>
    </row>
    <row r="1108" spans="1:5">
      <c r="A1108" s="103" t="s">
        <v>271</v>
      </c>
      <c r="B1108" s="95" t="s">
        <v>270</v>
      </c>
      <c r="C1108" s="96">
        <v>1.2999999999999999E-3</v>
      </c>
      <c r="D1108" s="97">
        <v>360000</v>
      </c>
      <c r="E1108" s="98">
        <f t="shared" ref="E1108:E1109" si="44">ROUND(C1108*D1108,0)</f>
        <v>468</v>
      </c>
    </row>
    <row r="1109" spans="1:5">
      <c r="A1109" s="94" t="s">
        <v>437</v>
      </c>
      <c r="B1109" s="95" t="s">
        <v>189</v>
      </c>
      <c r="C1109" s="96">
        <v>1</v>
      </c>
      <c r="D1109" s="97">
        <v>8000</v>
      </c>
      <c r="E1109" s="98">
        <f t="shared" si="44"/>
        <v>8000</v>
      </c>
    </row>
    <row r="1110" spans="1:5">
      <c r="A1110" s="99"/>
      <c r="B1110" s="101">
        <f>+E1110/D1120</f>
        <v>0.29299999999999998</v>
      </c>
      <c r="C1110" s="98"/>
      <c r="D1110" s="99" t="s">
        <v>209</v>
      </c>
      <c r="E1110" s="100">
        <f>SUM(E1107:E1109)</f>
        <v>8790</v>
      </c>
    </row>
    <row r="1111" spans="1:5">
      <c r="A1111" s="92" t="s">
        <v>210</v>
      </c>
      <c r="B1111" s="93" t="s">
        <v>164</v>
      </c>
      <c r="C1111" s="93" t="s">
        <v>2</v>
      </c>
      <c r="D1111" s="93" t="s">
        <v>202</v>
      </c>
      <c r="E1111" s="93" t="s">
        <v>203</v>
      </c>
    </row>
    <row r="1112" spans="1:5">
      <c r="A1112" s="94" t="s">
        <v>247</v>
      </c>
      <c r="B1112" s="95" t="s">
        <v>212</v>
      </c>
      <c r="C1112" s="96">
        <v>0.10788</v>
      </c>
      <c r="D1112" s="97">
        <v>171670</v>
      </c>
      <c r="E1112" s="98">
        <f>ROUND(C1112*D1112,0)</f>
        <v>18520</v>
      </c>
    </row>
    <row r="1113" spans="1:5">
      <c r="A1113" s="99"/>
      <c r="B1113" s="101">
        <f>+E1113/D1120</f>
        <v>0.61733333333333329</v>
      </c>
      <c r="C1113" s="98"/>
      <c r="D1113" s="99" t="s">
        <v>209</v>
      </c>
      <c r="E1113" s="100">
        <f>+E1112</f>
        <v>18520</v>
      </c>
    </row>
    <row r="1114" spans="1:5">
      <c r="A1114" s="92" t="s">
        <v>218</v>
      </c>
      <c r="B1114" s="93" t="s">
        <v>164</v>
      </c>
      <c r="C1114" s="93" t="s">
        <v>2</v>
      </c>
      <c r="D1114" s="93" t="s">
        <v>202</v>
      </c>
      <c r="E1114" s="93" t="s">
        <v>203</v>
      </c>
    </row>
    <row r="1115" spans="1:5">
      <c r="A1115" s="94" t="s">
        <v>213</v>
      </c>
      <c r="B1115" s="95" t="s">
        <v>214</v>
      </c>
      <c r="C1115" s="96">
        <v>0.05</v>
      </c>
      <c r="D1115" s="97">
        <f>+E1110</f>
        <v>8790</v>
      </c>
      <c r="E1115" s="98">
        <f>ROUND(C1115*D1115,0)</f>
        <v>440</v>
      </c>
    </row>
    <row r="1116" spans="1:5">
      <c r="A1116" s="99"/>
      <c r="B1116" s="101">
        <f>+E1116/D1120</f>
        <v>1.4666666666666666E-2</v>
      </c>
      <c r="C1116" s="98"/>
      <c r="D1116" s="99" t="s">
        <v>209</v>
      </c>
      <c r="E1116" s="100">
        <f>SUM(E1115:E1115)</f>
        <v>440</v>
      </c>
    </row>
    <row r="1117" spans="1:5">
      <c r="A1117" s="92" t="s">
        <v>219</v>
      </c>
      <c r="B1117" s="93" t="s">
        <v>164</v>
      </c>
      <c r="C1117" s="93" t="s">
        <v>2</v>
      </c>
      <c r="D1117" s="93" t="s">
        <v>202</v>
      </c>
      <c r="E1117" s="93" t="s">
        <v>203</v>
      </c>
    </row>
    <row r="1118" spans="1:5">
      <c r="A1118" s="94" t="s">
        <v>217</v>
      </c>
      <c r="B1118" s="95" t="s">
        <v>190</v>
      </c>
      <c r="C1118" s="96">
        <v>0.03</v>
      </c>
      <c r="D1118" s="97">
        <v>75000</v>
      </c>
      <c r="E1118" s="98">
        <f>ROUND(C1118*D1118,0)</f>
        <v>2250</v>
      </c>
    </row>
    <row r="1119" spans="1:5">
      <c r="A1119" s="99"/>
      <c r="B1119" s="101">
        <f>+E1119/D1120</f>
        <v>7.4999999999999997E-2</v>
      </c>
      <c r="C1119" s="98"/>
      <c r="D1119" s="99" t="s">
        <v>209</v>
      </c>
      <c r="E1119" s="100">
        <f>SUM(E1118:E1118)</f>
        <v>2250</v>
      </c>
    </row>
    <row r="1120" spans="1:5">
      <c r="A1120" s="213" t="s">
        <v>215</v>
      </c>
      <c r="B1120" s="213"/>
      <c r="C1120" s="213"/>
      <c r="D1120" s="214">
        <f>+E1119+E1116+E1113+E1110</f>
        <v>30000</v>
      </c>
      <c r="E1120" s="214"/>
    </row>
    <row r="1122" spans="1:5" ht="20.25">
      <c r="A1122" s="200" t="s">
        <v>216</v>
      </c>
      <c r="B1122" s="201"/>
      <c r="C1122" s="201"/>
      <c r="D1122" s="201"/>
      <c r="E1122" s="202"/>
    </row>
    <row r="1123" spans="1:5">
      <c r="A1123" s="203"/>
      <c r="B1123" s="204"/>
      <c r="C1123" s="205"/>
      <c r="D1123" s="90" t="s">
        <v>199</v>
      </c>
      <c r="E1123" s="90" t="s">
        <v>164</v>
      </c>
    </row>
    <row r="1124" spans="1:5">
      <c r="A1124" s="207"/>
      <c r="B1124" s="208"/>
      <c r="C1124" s="206"/>
      <c r="D1124" s="91" t="s">
        <v>319</v>
      </c>
      <c r="E1124" s="91" t="s">
        <v>164</v>
      </c>
    </row>
    <row r="1125" spans="1:5" ht="15.75">
      <c r="A1125" s="209" t="s">
        <v>200</v>
      </c>
      <c r="B1125" s="209"/>
      <c r="C1125" s="209"/>
      <c r="D1125" s="209"/>
      <c r="E1125" s="209"/>
    </row>
    <row r="1126" spans="1:5" ht="44.25" customHeight="1">
      <c r="A1126" s="210" t="s">
        <v>311</v>
      </c>
      <c r="B1126" s="211"/>
      <c r="C1126" s="211"/>
      <c r="D1126" s="211"/>
      <c r="E1126" s="212"/>
    </row>
    <row r="1127" spans="1:5">
      <c r="A1127" s="92" t="s">
        <v>201</v>
      </c>
      <c r="B1127" s="93" t="s">
        <v>164</v>
      </c>
      <c r="C1127" s="93" t="s">
        <v>2</v>
      </c>
      <c r="D1127" s="93" t="s">
        <v>202</v>
      </c>
      <c r="E1127" s="93" t="s">
        <v>203</v>
      </c>
    </row>
    <row r="1128" spans="1:5">
      <c r="A1128" s="94" t="s">
        <v>269</v>
      </c>
      <c r="B1128" s="95" t="s">
        <v>270</v>
      </c>
      <c r="C1128" s="96">
        <v>2E-3</v>
      </c>
      <c r="D1128" s="97">
        <v>248000</v>
      </c>
      <c r="E1128" s="98">
        <f>ROUND(C1128*D1128,0)</f>
        <v>496</v>
      </c>
    </row>
    <row r="1129" spans="1:5">
      <c r="A1129" s="103" t="s">
        <v>271</v>
      </c>
      <c r="B1129" s="95" t="s">
        <v>270</v>
      </c>
      <c r="C1129" s="96">
        <v>2E-3</v>
      </c>
      <c r="D1129" s="97">
        <v>360000</v>
      </c>
      <c r="E1129" s="98">
        <f t="shared" ref="E1129:E1131" si="45">ROUND(C1129*D1129,0)</f>
        <v>720</v>
      </c>
    </row>
    <row r="1130" spans="1:5">
      <c r="A1130" s="94" t="s">
        <v>439</v>
      </c>
      <c r="B1130" s="95" t="s">
        <v>189</v>
      </c>
      <c r="C1130" s="96">
        <v>1</v>
      </c>
      <c r="D1130" s="97">
        <v>9500</v>
      </c>
      <c r="E1130" s="98">
        <f t="shared" si="45"/>
        <v>9500</v>
      </c>
    </row>
    <row r="1131" spans="1:5">
      <c r="A1131" s="94" t="s">
        <v>438</v>
      </c>
      <c r="B1131" s="95" t="s">
        <v>164</v>
      </c>
      <c r="C1131" s="96">
        <v>3</v>
      </c>
      <c r="D1131" s="97">
        <v>2650</v>
      </c>
      <c r="E1131" s="98">
        <f t="shared" si="45"/>
        <v>7950</v>
      </c>
    </row>
    <row r="1132" spans="1:5">
      <c r="A1132" s="99"/>
      <c r="B1132" s="101">
        <f>+E1132/D1142</f>
        <v>0.37331999999999999</v>
      </c>
      <c r="C1132" s="98"/>
      <c r="D1132" s="99" t="s">
        <v>209</v>
      </c>
      <c r="E1132" s="100">
        <f>SUM(E1128:E1131)</f>
        <v>18666</v>
      </c>
    </row>
    <row r="1133" spans="1:5">
      <c r="A1133" s="92" t="s">
        <v>210</v>
      </c>
      <c r="B1133" s="93" t="s">
        <v>164</v>
      </c>
      <c r="C1133" s="93" t="s">
        <v>2</v>
      </c>
      <c r="D1133" s="93" t="s">
        <v>202</v>
      </c>
      <c r="E1133" s="93" t="s">
        <v>203</v>
      </c>
    </row>
    <row r="1134" spans="1:5">
      <c r="A1134" s="94" t="s">
        <v>247</v>
      </c>
      <c r="B1134" s="95" t="s">
        <v>212</v>
      </c>
      <c r="C1134" s="96">
        <v>0.16398499999999999</v>
      </c>
      <c r="D1134" s="97">
        <v>171670</v>
      </c>
      <c r="E1134" s="98">
        <f>ROUND(C1134*D1134,0)</f>
        <v>28151</v>
      </c>
    </row>
    <row r="1135" spans="1:5">
      <c r="A1135" s="99"/>
      <c r="B1135" s="101">
        <f>+E1135/D1142</f>
        <v>0.56301999999999996</v>
      </c>
      <c r="C1135" s="98"/>
      <c r="D1135" s="99" t="s">
        <v>209</v>
      </c>
      <c r="E1135" s="100">
        <f>+E1134</f>
        <v>28151</v>
      </c>
    </row>
    <row r="1136" spans="1:5">
      <c r="A1136" s="92" t="s">
        <v>218</v>
      </c>
      <c r="B1136" s="93" t="s">
        <v>164</v>
      </c>
      <c r="C1136" s="93" t="s">
        <v>2</v>
      </c>
      <c r="D1136" s="93" t="s">
        <v>202</v>
      </c>
      <c r="E1136" s="93" t="s">
        <v>203</v>
      </c>
    </row>
    <row r="1137" spans="1:5">
      <c r="A1137" s="94" t="s">
        <v>213</v>
      </c>
      <c r="B1137" s="95" t="s">
        <v>214</v>
      </c>
      <c r="C1137" s="96">
        <v>0.05</v>
      </c>
      <c r="D1137" s="97">
        <f>+E1132</f>
        <v>18666</v>
      </c>
      <c r="E1137" s="98">
        <f>ROUND(C1137*D1137,0)</f>
        <v>933</v>
      </c>
    </row>
    <row r="1138" spans="1:5">
      <c r="A1138" s="99"/>
      <c r="B1138" s="101">
        <f>+E1138/D1142</f>
        <v>1.866E-2</v>
      </c>
      <c r="C1138" s="98"/>
      <c r="D1138" s="99" t="s">
        <v>209</v>
      </c>
      <c r="E1138" s="100">
        <f>SUM(E1137:E1137)</f>
        <v>933</v>
      </c>
    </row>
    <row r="1139" spans="1:5">
      <c r="A1139" s="92" t="s">
        <v>219</v>
      </c>
      <c r="B1139" s="93" t="s">
        <v>164</v>
      </c>
      <c r="C1139" s="93" t="s">
        <v>2</v>
      </c>
      <c r="D1139" s="93" t="s">
        <v>202</v>
      </c>
      <c r="E1139" s="93" t="s">
        <v>203</v>
      </c>
    </row>
    <row r="1140" spans="1:5">
      <c r="A1140" s="94" t="s">
        <v>217</v>
      </c>
      <c r="B1140" s="95" t="s">
        <v>190</v>
      </c>
      <c r="C1140" s="96">
        <v>0.03</v>
      </c>
      <c r="D1140" s="97">
        <v>75000</v>
      </c>
      <c r="E1140" s="98">
        <f>ROUND(C1140*D1140,0)</f>
        <v>2250</v>
      </c>
    </row>
    <row r="1141" spans="1:5">
      <c r="A1141" s="99"/>
      <c r="B1141" s="101">
        <f>+E1141/D1142</f>
        <v>4.4999999999999998E-2</v>
      </c>
      <c r="C1141" s="98"/>
      <c r="D1141" s="99" t="s">
        <v>209</v>
      </c>
      <c r="E1141" s="100">
        <f>SUM(E1140:E1140)</f>
        <v>2250</v>
      </c>
    </row>
    <row r="1142" spans="1:5">
      <c r="A1142" s="213" t="s">
        <v>215</v>
      </c>
      <c r="B1142" s="213"/>
      <c r="C1142" s="213"/>
      <c r="D1142" s="214">
        <f>+E1141+E1138+E1135+E1132</f>
        <v>50000</v>
      </c>
      <c r="E1142" s="214"/>
    </row>
    <row r="1144" spans="1:5" ht="20.25">
      <c r="A1144" s="200" t="s">
        <v>216</v>
      </c>
      <c r="B1144" s="201"/>
      <c r="C1144" s="201"/>
      <c r="D1144" s="201"/>
      <c r="E1144" s="202"/>
    </row>
    <row r="1145" spans="1:5">
      <c r="A1145" s="203"/>
      <c r="B1145" s="204"/>
      <c r="C1145" s="205"/>
      <c r="D1145" s="90" t="s">
        <v>199</v>
      </c>
      <c r="E1145" s="90" t="s">
        <v>164</v>
      </c>
    </row>
    <row r="1146" spans="1:5">
      <c r="A1146" s="207"/>
      <c r="B1146" s="208"/>
      <c r="C1146" s="206"/>
      <c r="D1146" s="91" t="s">
        <v>320</v>
      </c>
      <c r="E1146" s="91" t="s">
        <v>164</v>
      </c>
    </row>
    <row r="1147" spans="1:5" ht="15.75">
      <c r="A1147" s="209" t="s">
        <v>200</v>
      </c>
      <c r="B1147" s="209"/>
      <c r="C1147" s="209"/>
      <c r="D1147" s="209"/>
      <c r="E1147" s="209"/>
    </row>
    <row r="1148" spans="1:5" ht="36.75" customHeight="1">
      <c r="A1148" s="210" t="s">
        <v>299</v>
      </c>
      <c r="B1148" s="211"/>
      <c r="C1148" s="211"/>
      <c r="D1148" s="211"/>
      <c r="E1148" s="212"/>
    </row>
    <row r="1149" spans="1:5">
      <c r="A1149" s="92" t="s">
        <v>201</v>
      </c>
      <c r="B1149" s="93" t="s">
        <v>164</v>
      </c>
      <c r="C1149" s="93" t="s">
        <v>2</v>
      </c>
      <c r="D1149" s="93" t="s">
        <v>202</v>
      </c>
      <c r="E1149" s="93" t="s">
        <v>203</v>
      </c>
    </row>
    <row r="1150" spans="1:5">
      <c r="A1150" s="94" t="s">
        <v>269</v>
      </c>
      <c r="B1150" s="95" t="s">
        <v>270</v>
      </c>
      <c r="C1150" s="96">
        <v>2E-3</v>
      </c>
      <c r="D1150" s="97">
        <v>248000</v>
      </c>
      <c r="E1150" s="98">
        <f>ROUND(C1150*D1150,0)</f>
        <v>496</v>
      </c>
    </row>
    <row r="1151" spans="1:5">
      <c r="A1151" s="103" t="s">
        <v>271</v>
      </c>
      <c r="B1151" s="95" t="s">
        <v>270</v>
      </c>
      <c r="C1151" s="96">
        <v>2E-3</v>
      </c>
      <c r="D1151" s="97">
        <v>360000</v>
      </c>
      <c r="E1151" s="98">
        <f t="shared" ref="E1151:E1153" si="46">ROUND(C1151*D1151,0)</f>
        <v>720</v>
      </c>
    </row>
    <row r="1152" spans="1:5">
      <c r="A1152" s="94" t="s">
        <v>439</v>
      </c>
      <c r="B1152" s="95" t="s">
        <v>189</v>
      </c>
      <c r="C1152" s="96">
        <v>1</v>
      </c>
      <c r="D1152" s="97">
        <v>11000</v>
      </c>
      <c r="E1152" s="98">
        <f t="shared" si="46"/>
        <v>11000</v>
      </c>
    </row>
    <row r="1153" spans="1:5">
      <c r="A1153" s="94" t="s">
        <v>440</v>
      </c>
      <c r="B1153" s="95" t="s">
        <v>164</v>
      </c>
      <c r="C1153" s="96">
        <v>3</v>
      </c>
      <c r="D1153" s="97">
        <v>3500</v>
      </c>
      <c r="E1153" s="98">
        <f t="shared" si="46"/>
        <v>10500</v>
      </c>
    </row>
    <row r="1154" spans="1:5">
      <c r="A1154" s="99"/>
      <c r="B1154" s="101">
        <f>+E1154/D1164</f>
        <v>0.41301818181818184</v>
      </c>
      <c r="C1154" s="98"/>
      <c r="D1154" s="99" t="s">
        <v>209</v>
      </c>
      <c r="E1154" s="100">
        <f>SUM(E1150:E1153)</f>
        <v>22716</v>
      </c>
    </row>
    <row r="1155" spans="1:5">
      <c r="A1155" s="92" t="s">
        <v>210</v>
      </c>
      <c r="B1155" s="93" t="s">
        <v>164</v>
      </c>
      <c r="C1155" s="93" t="s">
        <v>2</v>
      </c>
      <c r="D1155" s="93" t="s">
        <v>202</v>
      </c>
      <c r="E1155" s="93" t="s">
        <v>203</v>
      </c>
    </row>
    <row r="1156" spans="1:5">
      <c r="A1156" s="94" t="s">
        <v>247</v>
      </c>
      <c r="B1156" s="95" t="s">
        <v>212</v>
      </c>
      <c r="C1156" s="96">
        <v>0.16833500000000001</v>
      </c>
      <c r="D1156" s="97">
        <v>171670</v>
      </c>
      <c r="E1156" s="98">
        <f>ROUND(C1156*D1156,0)</f>
        <v>28898</v>
      </c>
    </row>
    <row r="1157" spans="1:5">
      <c r="A1157" s="99"/>
      <c r="B1157" s="101">
        <f>+E1157/D1164</f>
        <v>0.52541818181818178</v>
      </c>
      <c r="C1157" s="98"/>
      <c r="D1157" s="99" t="s">
        <v>209</v>
      </c>
      <c r="E1157" s="100">
        <f>+E1156</f>
        <v>28898</v>
      </c>
    </row>
    <row r="1158" spans="1:5">
      <c r="A1158" s="92" t="s">
        <v>218</v>
      </c>
      <c r="B1158" s="93" t="s">
        <v>164</v>
      </c>
      <c r="C1158" s="93" t="s">
        <v>2</v>
      </c>
      <c r="D1158" s="93" t="s">
        <v>202</v>
      </c>
      <c r="E1158" s="93" t="s">
        <v>203</v>
      </c>
    </row>
    <row r="1159" spans="1:5">
      <c r="A1159" s="94" t="s">
        <v>213</v>
      </c>
      <c r="B1159" s="95" t="s">
        <v>214</v>
      </c>
      <c r="C1159" s="96">
        <v>0.05</v>
      </c>
      <c r="D1159" s="97">
        <f>+E1154</f>
        <v>22716</v>
      </c>
      <c r="E1159" s="98">
        <f>ROUND(C1159*D1159,0)</f>
        <v>1136</v>
      </c>
    </row>
    <row r="1160" spans="1:5">
      <c r="A1160" s="99"/>
      <c r="B1160" s="101">
        <f>+E1160/D1164</f>
        <v>2.0654545454545453E-2</v>
      </c>
      <c r="C1160" s="98"/>
      <c r="D1160" s="99" t="s">
        <v>209</v>
      </c>
      <c r="E1160" s="100">
        <f>SUM(E1159:E1159)</f>
        <v>1136</v>
      </c>
    </row>
    <row r="1161" spans="1:5">
      <c r="A1161" s="92" t="s">
        <v>219</v>
      </c>
      <c r="B1161" s="93" t="s">
        <v>164</v>
      </c>
      <c r="C1161" s="93" t="s">
        <v>2</v>
      </c>
      <c r="D1161" s="93" t="s">
        <v>202</v>
      </c>
      <c r="E1161" s="93" t="s">
        <v>203</v>
      </c>
    </row>
    <row r="1162" spans="1:5">
      <c r="A1162" s="94" t="s">
        <v>217</v>
      </c>
      <c r="B1162" s="95" t="s">
        <v>190</v>
      </c>
      <c r="C1162" s="96">
        <v>0.03</v>
      </c>
      <c r="D1162" s="97">
        <v>75000</v>
      </c>
      <c r="E1162" s="98">
        <f>ROUND(C1162*D1162,0)</f>
        <v>2250</v>
      </c>
    </row>
    <row r="1163" spans="1:5">
      <c r="A1163" s="99"/>
      <c r="B1163" s="101">
        <f>+E1163/D1164</f>
        <v>4.0909090909090909E-2</v>
      </c>
      <c r="C1163" s="98"/>
      <c r="D1163" s="99" t="s">
        <v>209</v>
      </c>
      <c r="E1163" s="100">
        <f>SUM(E1162:E1162)</f>
        <v>2250</v>
      </c>
    </row>
    <row r="1164" spans="1:5">
      <c r="A1164" s="213" t="s">
        <v>215</v>
      </c>
      <c r="B1164" s="213"/>
      <c r="C1164" s="213"/>
      <c r="D1164" s="214">
        <f>+E1163+E1160+E1157+E1154</f>
        <v>55000</v>
      </c>
      <c r="E1164" s="214"/>
    </row>
    <row r="1166" spans="1:5" ht="20.25">
      <c r="A1166" s="200" t="s">
        <v>216</v>
      </c>
      <c r="B1166" s="201"/>
      <c r="C1166" s="201"/>
      <c r="D1166" s="201"/>
      <c r="E1166" s="202"/>
    </row>
    <row r="1167" spans="1:5">
      <c r="A1167" s="203"/>
      <c r="B1167" s="204"/>
      <c r="C1167" s="205"/>
      <c r="D1167" s="90" t="s">
        <v>199</v>
      </c>
      <c r="E1167" s="90" t="s">
        <v>164</v>
      </c>
    </row>
    <row r="1168" spans="1:5">
      <c r="A1168" s="207"/>
      <c r="B1168" s="208"/>
      <c r="C1168" s="206"/>
      <c r="D1168" s="91" t="s">
        <v>321</v>
      </c>
      <c r="E1168" s="91" t="s">
        <v>164</v>
      </c>
    </row>
    <row r="1169" spans="1:5" ht="15.75">
      <c r="A1169" s="209" t="s">
        <v>200</v>
      </c>
      <c r="B1169" s="209"/>
      <c r="C1169" s="209"/>
      <c r="D1169" s="209"/>
      <c r="E1169" s="209"/>
    </row>
    <row r="1170" spans="1:5" ht="30" customHeight="1">
      <c r="A1170" s="210" t="s">
        <v>300</v>
      </c>
      <c r="B1170" s="211"/>
      <c r="C1170" s="211"/>
      <c r="D1170" s="211"/>
      <c r="E1170" s="212"/>
    </row>
    <row r="1171" spans="1:5">
      <c r="A1171" s="92" t="s">
        <v>201</v>
      </c>
      <c r="B1171" s="93" t="s">
        <v>164</v>
      </c>
      <c r="C1171" s="93" t="s">
        <v>2</v>
      </c>
      <c r="D1171" s="93" t="s">
        <v>202</v>
      </c>
      <c r="E1171" s="93" t="s">
        <v>203</v>
      </c>
    </row>
    <row r="1172" spans="1:5">
      <c r="A1172" s="94" t="s">
        <v>269</v>
      </c>
      <c r="B1172" s="95" t="s">
        <v>270</v>
      </c>
      <c r="C1172" s="96">
        <v>2E-3</v>
      </c>
      <c r="D1172" s="97">
        <v>248000</v>
      </c>
      <c r="E1172" s="98">
        <f>ROUND(C1172*D1172,0)</f>
        <v>496</v>
      </c>
    </row>
    <row r="1173" spans="1:5">
      <c r="A1173" s="103" t="s">
        <v>271</v>
      </c>
      <c r="B1173" s="95" t="s">
        <v>270</v>
      </c>
      <c r="C1173" s="96">
        <v>2E-3</v>
      </c>
      <c r="D1173" s="97">
        <v>360000</v>
      </c>
      <c r="E1173" s="98">
        <f t="shared" ref="E1173:E1175" si="47">ROUND(C1173*D1173,0)</f>
        <v>720</v>
      </c>
    </row>
    <row r="1174" spans="1:5">
      <c r="A1174" s="94" t="s">
        <v>441</v>
      </c>
      <c r="B1174" s="95" t="s">
        <v>189</v>
      </c>
      <c r="C1174" s="96">
        <v>1</v>
      </c>
      <c r="D1174" s="97">
        <v>16500</v>
      </c>
      <c r="E1174" s="98">
        <f t="shared" si="47"/>
        <v>16500</v>
      </c>
    </row>
    <row r="1175" spans="1:5">
      <c r="A1175" s="94" t="s">
        <v>442</v>
      </c>
      <c r="B1175" s="95" t="s">
        <v>164</v>
      </c>
      <c r="C1175" s="96">
        <v>3</v>
      </c>
      <c r="D1175" s="97">
        <v>8000</v>
      </c>
      <c r="E1175" s="98">
        <f t="shared" si="47"/>
        <v>24000</v>
      </c>
    </row>
    <row r="1176" spans="1:5">
      <c r="A1176" s="99"/>
      <c r="B1176" s="101">
        <f>+E1176/D1186</f>
        <v>0.55621333333333334</v>
      </c>
      <c r="C1176" s="98"/>
      <c r="D1176" s="99" t="s">
        <v>209</v>
      </c>
      <c r="E1176" s="100">
        <f>SUM(E1172:E1175)</f>
        <v>41716</v>
      </c>
    </row>
    <row r="1177" spans="1:5">
      <c r="A1177" s="92" t="s">
        <v>210</v>
      </c>
      <c r="B1177" s="93" t="s">
        <v>164</v>
      </c>
      <c r="C1177" s="93" t="s">
        <v>2</v>
      </c>
      <c r="D1177" s="93" t="s">
        <v>202</v>
      </c>
      <c r="E1177" s="93" t="s">
        <v>203</v>
      </c>
    </row>
    <row r="1178" spans="1:5">
      <c r="A1178" s="94" t="s">
        <v>247</v>
      </c>
      <c r="B1178" s="95" t="s">
        <v>212</v>
      </c>
      <c r="C1178" s="96">
        <v>0.168625</v>
      </c>
      <c r="D1178" s="97">
        <v>171670</v>
      </c>
      <c r="E1178" s="98">
        <f>ROUND(C1178*D1178,0)</f>
        <v>28948</v>
      </c>
    </row>
    <row r="1179" spans="1:5">
      <c r="A1179" s="99"/>
      <c r="B1179" s="101">
        <f>+E1179/D1186</f>
        <v>0.38597333333333333</v>
      </c>
      <c r="C1179" s="98"/>
      <c r="D1179" s="99" t="s">
        <v>209</v>
      </c>
      <c r="E1179" s="100">
        <f>+E1178</f>
        <v>28948</v>
      </c>
    </row>
    <row r="1180" spans="1:5">
      <c r="A1180" s="92" t="s">
        <v>218</v>
      </c>
      <c r="B1180" s="93" t="s">
        <v>164</v>
      </c>
      <c r="C1180" s="93" t="s">
        <v>2</v>
      </c>
      <c r="D1180" s="93" t="s">
        <v>202</v>
      </c>
      <c r="E1180" s="93" t="s">
        <v>203</v>
      </c>
    </row>
    <row r="1181" spans="1:5">
      <c r="A1181" s="94" t="s">
        <v>213</v>
      </c>
      <c r="B1181" s="95" t="s">
        <v>214</v>
      </c>
      <c r="C1181" s="96">
        <v>0.05</v>
      </c>
      <c r="D1181" s="97">
        <f>+E1176</f>
        <v>41716</v>
      </c>
      <c r="E1181" s="98">
        <f>ROUND(C1181*D1181,0)</f>
        <v>2086</v>
      </c>
    </row>
    <row r="1182" spans="1:5">
      <c r="A1182" s="99"/>
      <c r="B1182" s="101">
        <f>+E1182/D1186</f>
        <v>2.7813333333333332E-2</v>
      </c>
      <c r="C1182" s="98"/>
      <c r="D1182" s="99" t="s">
        <v>209</v>
      </c>
      <c r="E1182" s="100">
        <f>SUM(E1181:E1181)</f>
        <v>2086</v>
      </c>
    </row>
    <row r="1183" spans="1:5">
      <c r="A1183" s="92" t="s">
        <v>219</v>
      </c>
      <c r="B1183" s="93" t="s">
        <v>164</v>
      </c>
      <c r="C1183" s="93" t="s">
        <v>2</v>
      </c>
      <c r="D1183" s="93" t="s">
        <v>202</v>
      </c>
      <c r="E1183" s="93" t="s">
        <v>203</v>
      </c>
    </row>
    <row r="1184" spans="1:5">
      <c r="A1184" s="94" t="s">
        <v>217</v>
      </c>
      <c r="B1184" s="95" t="s">
        <v>190</v>
      </c>
      <c r="C1184" s="96">
        <v>0.03</v>
      </c>
      <c r="D1184" s="97">
        <v>75000</v>
      </c>
      <c r="E1184" s="98">
        <f>ROUND(C1184*D1184,0)</f>
        <v>2250</v>
      </c>
    </row>
    <row r="1185" spans="1:5">
      <c r="A1185" s="99"/>
      <c r="B1185" s="101">
        <f>+E1185/D1186</f>
        <v>0.03</v>
      </c>
      <c r="C1185" s="98"/>
      <c r="D1185" s="99" t="s">
        <v>209</v>
      </c>
      <c r="E1185" s="100">
        <f>SUM(E1184:E1184)</f>
        <v>2250</v>
      </c>
    </row>
    <row r="1186" spans="1:5">
      <c r="A1186" s="213" t="s">
        <v>215</v>
      </c>
      <c r="B1186" s="213"/>
      <c r="C1186" s="213"/>
      <c r="D1186" s="214">
        <f>+E1185+E1182+E1179+E1176</f>
        <v>75000</v>
      </c>
      <c r="E1186" s="214"/>
    </row>
    <row r="1188" spans="1:5" ht="20.25">
      <c r="A1188" s="200" t="s">
        <v>216</v>
      </c>
      <c r="B1188" s="201"/>
      <c r="C1188" s="201"/>
      <c r="D1188" s="201"/>
      <c r="E1188" s="202"/>
    </row>
    <row r="1189" spans="1:5">
      <c r="A1189" s="203"/>
      <c r="B1189" s="204"/>
      <c r="C1189" s="205"/>
      <c r="D1189" s="90" t="s">
        <v>199</v>
      </c>
      <c r="E1189" s="90" t="s">
        <v>164</v>
      </c>
    </row>
    <row r="1190" spans="1:5">
      <c r="A1190" s="207"/>
      <c r="B1190" s="208"/>
      <c r="C1190" s="206"/>
      <c r="D1190" s="91" t="s">
        <v>322</v>
      </c>
      <c r="E1190" s="91" t="s">
        <v>164</v>
      </c>
    </row>
    <row r="1191" spans="1:5" ht="15.75">
      <c r="A1191" s="209" t="s">
        <v>200</v>
      </c>
      <c r="B1191" s="209"/>
      <c r="C1191" s="209"/>
      <c r="D1191" s="209"/>
      <c r="E1191" s="209"/>
    </row>
    <row r="1192" spans="1:5" ht="25.5" customHeight="1">
      <c r="A1192" s="210" t="s">
        <v>443</v>
      </c>
      <c r="B1192" s="211"/>
      <c r="C1192" s="211"/>
      <c r="D1192" s="211"/>
      <c r="E1192" s="212"/>
    </row>
    <row r="1193" spans="1:5">
      <c r="A1193" s="92" t="s">
        <v>201</v>
      </c>
      <c r="B1193" s="93" t="s">
        <v>164</v>
      </c>
      <c r="C1193" s="93" t="s">
        <v>2</v>
      </c>
      <c r="D1193" s="93" t="s">
        <v>202</v>
      </c>
      <c r="E1193" s="93" t="s">
        <v>203</v>
      </c>
    </row>
    <row r="1194" spans="1:5">
      <c r="A1194" s="94" t="s">
        <v>269</v>
      </c>
      <c r="B1194" s="95" t="s">
        <v>270</v>
      </c>
      <c r="C1194" s="96">
        <v>2E-3</v>
      </c>
      <c r="D1194" s="97">
        <v>248000</v>
      </c>
      <c r="E1194" s="98">
        <f>ROUND(C1194*D1194,0)</f>
        <v>496</v>
      </c>
    </row>
    <row r="1195" spans="1:5">
      <c r="A1195" s="103" t="s">
        <v>271</v>
      </c>
      <c r="B1195" s="95" t="s">
        <v>270</v>
      </c>
      <c r="C1195" s="96">
        <v>2E-3</v>
      </c>
      <c r="D1195" s="97">
        <v>360000</v>
      </c>
      <c r="E1195" s="98">
        <f t="shared" ref="E1195:E1197" si="48">ROUND(C1195*D1195,0)</f>
        <v>720</v>
      </c>
    </row>
    <row r="1196" spans="1:5">
      <c r="A1196" s="94" t="s">
        <v>444</v>
      </c>
      <c r="B1196" s="95" t="s">
        <v>189</v>
      </c>
      <c r="C1196" s="96">
        <v>1</v>
      </c>
      <c r="D1196" s="97">
        <v>25000</v>
      </c>
      <c r="E1196" s="98">
        <f t="shared" si="48"/>
        <v>25000</v>
      </c>
    </row>
    <row r="1197" spans="1:5">
      <c r="A1197" s="94" t="s">
        <v>445</v>
      </c>
      <c r="B1197" s="95" t="s">
        <v>164</v>
      </c>
      <c r="C1197" s="96">
        <v>3</v>
      </c>
      <c r="D1197" s="97">
        <v>13000</v>
      </c>
      <c r="E1197" s="98">
        <f t="shared" si="48"/>
        <v>39000</v>
      </c>
    </row>
    <row r="1198" spans="1:5">
      <c r="A1198" s="99"/>
      <c r="B1198" s="101">
        <f>+E1198/D1208</f>
        <v>0.50166153846153849</v>
      </c>
      <c r="C1198" s="98"/>
      <c r="D1198" s="99" t="s">
        <v>209</v>
      </c>
      <c r="E1198" s="100">
        <f>SUM(E1194:E1197)</f>
        <v>65216</v>
      </c>
    </row>
    <row r="1199" spans="1:5">
      <c r="A1199" s="92" t="s">
        <v>210</v>
      </c>
      <c r="B1199" s="93" t="s">
        <v>164</v>
      </c>
      <c r="C1199" s="93" t="s">
        <v>2</v>
      </c>
      <c r="D1199" s="93" t="s">
        <v>202</v>
      </c>
      <c r="E1199" s="93" t="s">
        <v>203</v>
      </c>
    </row>
    <row r="1200" spans="1:5">
      <c r="A1200" s="94" t="s">
        <v>247</v>
      </c>
      <c r="B1200" s="95" t="s">
        <v>212</v>
      </c>
      <c r="C1200" s="96">
        <v>0.34527000000000002</v>
      </c>
      <c r="D1200" s="97">
        <v>171670</v>
      </c>
      <c r="E1200" s="98">
        <f>ROUND(C1200*D1200,0)</f>
        <v>59273</v>
      </c>
    </row>
    <row r="1201" spans="1:5">
      <c r="A1201" s="99"/>
      <c r="B1201" s="101">
        <f>+E1201/D1208</f>
        <v>0.45594615384615383</v>
      </c>
      <c r="C1201" s="98"/>
      <c r="D1201" s="99" t="s">
        <v>209</v>
      </c>
      <c r="E1201" s="100">
        <f>+E1200</f>
        <v>59273</v>
      </c>
    </row>
    <row r="1202" spans="1:5">
      <c r="A1202" s="92" t="s">
        <v>218</v>
      </c>
      <c r="B1202" s="93" t="s">
        <v>164</v>
      </c>
      <c r="C1202" s="93" t="s">
        <v>2</v>
      </c>
      <c r="D1202" s="93" t="s">
        <v>202</v>
      </c>
      <c r="E1202" s="93" t="s">
        <v>203</v>
      </c>
    </row>
    <row r="1203" spans="1:5">
      <c r="A1203" s="94" t="s">
        <v>213</v>
      </c>
      <c r="B1203" s="95" t="s">
        <v>214</v>
      </c>
      <c r="C1203" s="96">
        <v>0.05</v>
      </c>
      <c r="D1203" s="97">
        <f>+E1198</f>
        <v>65216</v>
      </c>
      <c r="E1203" s="98">
        <f>ROUND(C1203*D1203,0)</f>
        <v>3261</v>
      </c>
    </row>
    <row r="1204" spans="1:5">
      <c r="A1204" s="99"/>
      <c r="B1204" s="101">
        <f>+E1204/D1208</f>
        <v>2.5084615384615386E-2</v>
      </c>
      <c r="C1204" s="98"/>
      <c r="D1204" s="99" t="s">
        <v>209</v>
      </c>
      <c r="E1204" s="100">
        <f>SUM(E1203:E1203)</f>
        <v>3261</v>
      </c>
    </row>
    <row r="1205" spans="1:5">
      <c r="A1205" s="92" t="s">
        <v>219</v>
      </c>
      <c r="B1205" s="93" t="s">
        <v>164</v>
      </c>
      <c r="C1205" s="93" t="s">
        <v>2</v>
      </c>
      <c r="D1205" s="93" t="s">
        <v>202</v>
      </c>
      <c r="E1205" s="93" t="s">
        <v>203</v>
      </c>
    </row>
    <row r="1206" spans="1:5">
      <c r="A1206" s="94" t="s">
        <v>217</v>
      </c>
      <c r="B1206" s="95" t="s">
        <v>190</v>
      </c>
      <c r="C1206" s="96">
        <v>0.03</v>
      </c>
      <c r="D1206" s="97">
        <v>75000</v>
      </c>
      <c r="E1206" s="98">
        <f>ROUND(C1206*D1206,0)</f>
        <v>2250</v>
      </c>
    </row>
    <row r="1207" spans="1:5">
      <c r="A1207" s="99"/>
      <c r="B1207" s="101">
        <f>+E1207/D1208</f>
        <v>1.7307692307692309E-2</v>
      </c>
      <c r="C1207" s="98"/>
      <c r="D1207" s="99" t="s">
        <v>209</v>
      </c>
      <c r="E1207" s="100">
        <f>SUM(E1206:E1206)</f>
        <v>2250</v>
      </c>
    </row>
    <row r="1208" spans="1:5">
      <c r="A1208" s="213" t="s">
        <v>215</v>
      </c>
      <c r="B1208" s="213"/>
      <c r="C1208" s="213"/>
      <c r="D1208" s="214">
        <f>+E1207+E1204+E1201+E1198</f>
        <v>130000</v>
      </c>
      <c r="E1208" s="214"/>
    </row>
    <row r="1210" spans="1:5" ht="20.25">
      <c r="A1210" s="200" t="s">
        <v>216</v>
      </c>
      <c r="B1210" s="201"/>
      <c r="C1210" s="201"/>
      <c r="D1210" s="201"/>
      <c r="E1210" s="202"/>
    </row>
    <row r="1211" spans="1:5">
      <c r="A1211" s="203"/>
      <c r="B1211" s="204"/>
      <c r="C1211" s="205"/>
      <c r="D1211" s="90" t="s">
        <v>199</v>
      </c>
      <c r="E1211" s="90" t="s">
        <v>164</v>
      </c>
    </row>
    <row r="1212" spans="1:5">
      <c r="A1212" s="207"/>
      <c r="B1212" s="208"/>
      <c r="C1212" s="206"/>
      <c r="D1212" s="91" t="s">
        <v>323</v>
      </c>
      <c r="E1212" s="91" t="s">
        <v>164</v>
      </c>
    </row>
    <row r="1213" spans="1:5" ht="15.75">
      <c r="A1213" s="209" t="s">
        <v>200</v>
      </c>
      <c r="B1213" s="209"/>
      <c r="C1213" s="209"/>
      <c r="D1213" s="209"/>
      <c r="E1213" s="209"/>
    </row>
    <row r="1214" spans="1:5" ht="26.25" customHeight="1">
      <c r="A1214" s="210" t="s">
        <v>302</v>
      </c>
      <c r="B1214" s="211"/>
      <c r="C1214" s="211"/>
      <c r="D1214" s="211"/>
      <c r="E1214" s="212"/>
    </row>
    <row r="1215" spans="1:5">
      <c r="A1215" s="92" t="s">
        <v>201</v>
      </c>
      <c r="B1215" s="93" t="s">
        <v>164</v>
      </c>
      <c r="C1215" s="93" t="s">
        <v>2</v>
      </c>
      <c r="D1215" s="93" t="s">
        <v>202</v>
      </c>
      <c r="E1215" s="93" t="s">
        <v>203</v>
      </c>
    </row>
    <row r="1216" spans="1:5">
      <c r="A1216" s="94" t="s">
        <v>234</v>
      </c>
      <c r="B1216" s="95" t="s">
        <v>188</v>
      </c>
      <c r="C1216" s="96">
        <v>0.1</v>
      </c>
      <c r="D1216" s="97">
        <v>140000</v>
      </c>
      <c r="E1216" s="98">
        <f>ROUND(C1216*D1216,0)</f>
        <v>14000</v>
      </c>
    </row>
    <row r="1217" spans="1:5">
      <c r="A1217" s="94" t="s">
        <v>235</v>
      </c>
      <c r="B1217" s="95" t="s">
        <v>188</v>
      </c>
      <c r="C1217" s="96">
        <v>0.3</v>
      </c>
      <c r="D1217" s="97">
        <v>140000</v>
      </c>
      <c r="E1217" s="98">
        <f t="shared" ref="E1217:E1221" si="49">ROUND(C1217*D1217,0)</f>
        <v>42000</v>
      </c>
    </row>
    <row r="1218" spans="1:5">
      <c r="A1218" s="94" t="s">
        <v>236</v>
      </c>
      <c r="B1218" s="95" t="s">
        <v>238</v>
      </c>
      <c r="C1218" s="96">
        <v>3</v>
      </c>
      <c r="D1218" s="97">
        <v>30000</v>
      </c>
      <c r="E1218" s="98">
        <f t="shared" si="49"/>
        <v>90000</v>
      </c>
    </row>
    <row r="1219" spans="1:5">
      <c r="A1219" s="94" t="s">
        <v>239</v>
      </c>
      <c r="B1219" s="95" t="s">
        <v>207</v>
      </c>
      <c r="C1219" s="96">
        <v>0.5</v>
      </c>
      <c r="D1219" s="97">
        <v>4900</v>
      </c>
      <c r="E1219" s="98">
        <f t="shared" si="49"/>
        <v>2450</v>
      </c>
    </row>
    <row r="1220" spans="1:5">
      <c r="A1220" s="94" t="s">
        <v>206</v>
      </c>
      <c r="B1220" s="95" t="s">
        <v>164</v>
      </c>
      <c r="C1220" s="96">
        <v>2</v>
      </c>
      <c r="D1220" s="97">
        <v>10000</v>
      </c>
      <c r="E1220" s="98">
        <f t="shared" si="49"/>
        <v>20000</v>
      </c>
    </row>
    <row r="1221" spans="1:5">
      <c r="A1221" s="94" t="s">
        <v>241</v>
      </c>
      <c r="B1221" s="95" t="s">
        <v>164</v>
      </c>
      <c r="C1221" s="96">
        <v>1</v>
      </c>
      <c r="D1221" s="97">
        <v>280000</v>
      </c>
      <c r="E1221" s="98">
        <f t="shared" si="49"/>
        <v>280000</v>
      </c>
    </row>
    <row r="1222" spans="1:5">
      <c r="A1222" s="99"/>
      <c r="B1222" s="101">
        <f>+E1222/D1232</f>
        <v>0.74741666666666662</v>
      </c>
      <c r="C1222" s="98"/>
      <c r="D1222" s="99" t="s">
        <v>209</v>
      </c>
      <c r="E1222" s="100">
        <f>SUM(E1216:E1221)</f>
        <v>448450</v>
      </c>
    </row>
    <row r="1223" spans="1:5">
      <c r="A1223" s="92" t="s">
        <v>210</v>
      </c>
      <c r="B1223" s="93" t="s">
        <v>164</v>
      </c>
      <c r="C1223" s="93" t="s">
        <v>2</v>
      </c>
      <c r="D1223" s="93" t="s">
        <v>202</v>
      </c>
      <c r="E1223" s="93" t="s">
        <v>203</v>
      </c>
    </row>
    <row r="1224" spans="1:5">
      <c r="A1224" s="94" t="s">
        <v>247</v>
      </c>
      <c r="B1224" s="95" t="s">
        <v>212</v>
      </c>
      <c r="C1224" s="96">
        <v>0.73907500000000004</v>
      </c>
      <c r="D1224" s="97">
        <v>171670</v>
      </c>
      <c r="E1224" s="98">
        <f>ROUND(C1224*D1224,0)</f>
        <v>126877</v>
      </c>
    </row>
    <row r="1225" spans="1:5">
      <c r="A1225" s="99"/>
      <c r="B1225" s="101">
        <f>+E1225/D1232</f>
        <v>0.21146166666666666</v>
      </c>
      <c r="C1225" s="98"/>
      <c r="D1225" s="99" t="s">
        <v>209</v>
      </c>
      <c r="E1225" s="100">
        <f>+E1224</f>
        <v>126877</v>
      </c>
    </row>
    <row r="1226" spans="1:5">
      <c r="A1226" s="92" t="s">
        <v>218</v>
      </c>
      <c r="B1226" s="93" t="s">
        <v>164</v>
      </c>
      <c r="C1226" s="93" t="s">
        <v>2</v>
      </c>
      <c r="D1226" s="93" t="s">
        <v>202</v>
      </c>
      <c r="E1226" s="93" t="s">
        <v>203</v>
      </c>
    </row>
    <row r="1227" spans="1:5">
      <c r="A1227" s="94" t="s">
        <v>213</v>
      </c>
      <c r="B1227" s="95" t="s">
        <v>214</v>
      </c>
      <c r="C1227" s="96">
        <v>0.05</v>
      </c>
      <c r="D1227" s="97">
        <f>+E1222</f>
        <v>448450</v>
      </c>
      <c r="E1227" s="98">
        <f>ROUND(C1227*D1227,0)</f>
        <v>22423</v>
      </c>
    </row>
    <row r="1228" spans="1:5">
      <c r="A1228" s="99"/>
      <c r="B1228" s="101">
        <f>+E1228/D1232</f>
        <v>3.7371666666666664E-2</v>
      </c>
      <c r="C1228" s="98"/>
      <c r="D1228" s="99" t="s">
        <v>209</v>
      </c>
      <c r="E1228" s="100">
        <f>SUM(E1227:E1227)</f>
        <v>22423</v>
      </c>
    </row>
    <row r="1229" spans="1:5">
      <c r="A1229" s="92" t="s">
        <v>219</v>
      </c>
      <c r="B1229" s="93" t="s">
        <v>164</v>
      </c>
      <c r="C1229" s="93" t="s">
        <v>2</v>
      </c>
      <c r="D1229" s="93" t="s">
        <v>202</v>
      </c>
      <c r="E1229" s="93" t="s">
        <v>203</v>
      </c>
    </row>
    <row r="1230" spans="1:5">
      <c r="A1230" s="94" t="s">
        <v>217</v>
      </c>
      <c r="B1230" s="95" t="s">
        <v>190</v>
      </c>
      <c r="C1230" s="96">
        <v>0.03</v>
      </c>
      <c r="D1230" s="97">
        <v>75000</v>
      </c>
      <c r="E1230" s="98">
        <f>ROUND(C1230*D1230,0)</f>
        <v>2250</v>
      </c>
    </row>
    <row r="1231" spans="1:5">
      <c r="A1231" s="99"/>
      <c r="B1231" s="101">
        <f>+E1231/D1232</f>
        <v>3.7499999999999999E-3</v>
      </c>
      <c r="C1231" s="98"/>
      <c r="D1231" s="99" t="s">
        <v>209</v>
      </c>
      <c r="E1231" s="100">
        <f>SUM(E1230:E1230)</f>
        <v>2250</v>
      </c>
    </row>
    <row r="1232" spans="1:5">
      <c r="A1232" s="213" t="s">
        <v>215</v>
      </c>
      <c r="B1232" s="213"/>
      <c r="C1232" s="213"/>
      <c r="D1232" s="214">
        <f>+E1231+E1228+E1225+E1222</f>
        <v>600000</v>
      </c>
      <c r="E1232" s="214"/>
    </row>
    <row r="1234" spans="1:5" ht="20.25">
      <c r="A1234" s="200" t="s">
        <v>216</v>
      </c>
      <c r="B1234" s="201"/>
      <c r="C1234" s="201"/>
      <c r="D1234" s="201"/>
      <c r="E1234" s="202"/>
    </row>
    <row r="1235" spans="1:5">
      <c r="A1235" s="203"/>
      <c r="B1235" s="204"/>
      <c r="C1235" s="205"/>
      <c r="D1235" s="90" t="s">
        <v>199</v>
      </c>
      <c r="E1235" s="90" t="s">
        <v>164</v>
      </c>
    </row>
    <row r="1236" spans="1:5">
      <c r="A1236" s="207"/>
      <c r="B1236" s="208"/>
      <c r="C1236" s="206"/>
      <c r="D1236" s="91" t="s">
        <v>324</v>
      </c>
      <c r="E1236" s="91" t="s">
        <v>188</v>
      </c>
    </row>
    <row r="1237" spans="1:5" ht="15.75">
      <c r="A1237" s="209" t="s">
        <v>200</v>
      </c>
      <c r="B1237" s="209"/>
      <c r="C1237" s="209"/>
      <c r="D1237" s="209"/>
      <c r="E1237" s="209"/>
    </row>
    <row r="1238" spans="1:5" ht="44.25" customHeight="1">
      <c r="A1238" s="210" t="s">
        <v>178</v>
      </c>
      <c r="B1238" s="211"/>
      <c r="C1238" s="211"/>
      <c r="D1238" s="211"/>
      <c r="E1238" s="212"/>
    </row>
    <row r="1239" spans="1:5">
      <c r="A1239" s="92" t="s">
        <v>201</v>
      </c>
      <c r="B1239" s="93" t="s">
        <v>164</v>
      </c>
      <c r="C1239" s="93" t="s">
        <v>2</v>
      </c>
      <c r="D1239" s="93" t="s">
        <v>202</v>
      </c>
      <c r="E1239" s="93" t="s">
        <v>203</v>
      </c>
    </row>
    <row r="1240" spans="1:5">
      <c r="A1240" s="94"/>
      <c r="B1240" s="95"/>
      <c r="C1240" s="96">
        <v>0</v>
      </c>
      <c r="D1240" s="97">
        <v>0</v>
      </c>
      <c r="E1240" s="98">
        <f>ROUND(C1240*D1240,0)</f>
        <v>0</v>
      </c>
    </row>
    <row r="1241" spans="1:5">
      <c r="A1241" s="94"/>
      <c r="B1241" s="95"/>
      <c r="C1241" s="96">
        <v>0</v>
      </c>
      <c r="D1241" s="97">
        <v>0</v>
      </c>
      <c r="E1241" s="98">
        <f>ROUND(C1241*D1241,0)</f>
        <v>0</v>
      </c>
    </row>
    <row r="1242" spans="1:5">
      <c r="A1242" s="99"/>
      <c r="B1242" s="101">
        <f>+E1242/D1253</f>
        <v>0</v>
      </c>
      <c r="C1242" s="98"/>
      <c r="D1242" s="99" t="s">
        <v>209</v>
      </c>
      <c r="E1242" s="100">
        <f>SUM(E1240:E1241)</f>
        <v>0</v>
      </c>
    </row>
    <row r="1243" spans="1:5">
      <c r="A1243" s="92" t="s">
        <v>210</v>
      </c>
      <c r="B1243" s="93" t="s">
        <v>164</v>
      </c>
      <c r="C1243" s="93" t="s">
        <v>2</v>
      </c>
      <c r="D1243" s="93" t="s">
        <v>202</v>
      </c>
      <c r="E1243" s="93" t="s">
        <v>203</v>
      </c>
    </row>
    <row r="1244" spans="1:5">
      <c r="A1244" s="94" t="s">
        <v>232</v>
      </c>
      <c r="B1244" s="95" t="s">
        <v>212</v>
      </c>
      <c r="C1244" s="96">
        <v>0.3</v>
      </c>
      <c r="D1244" s="97">
        <v>57510</v>
      </c>
      <c r="E1244" s="98">
        <f>ROUND(C1244*D1244,0)</f>
        <v>17253</v>
      </c>
    </row>
    <row r="1245" spans="1:5">
      <c r="A1245" s="99"/>
      <c r="B1245" s="101">
        <f>+E1245/D1253</f>
        <v>0.17252999999999999</v>
      </c>
      <c r="C1245" s="98"/>
      <c r="D1245" s="99" t="s">
        <v>209</v>
      </c>
      <c r="E1245" s="100">
        <f>+E1244</f>
        <v>17253</v>
      </c>
    </row>
    <row r="1246" spans="1:5">
      <c r="A1246" s="92" t="s">
        <v>218</v>
      </c>
      <c r="B1246" s="93" t="s">
        <v>164</v>
      </c>
      <c r="C1246" s="93" t="s">
        <v>2</v>
      </c>
      <c r="D1246" s="93" t="s">
        <v>202</v>
      </c>
      <c r="E1246" s="93" t="s">
        <v>203</v>
      </c>
    </row>
    <row r="1247" spans="1:5">
      <c r="A1247" s="94" t="s">
        <v>213</v>
      </c>
      <c r="B1247" s="95" t="s">
        <v>214</v>
      </c>
      <c r="C1247" s="96">
        <v>0.05</v>
      </c>
      <c r="D1247" s="97">
        <f>+E1245</f>
        <v>17253</v>
      </c>
      <c r="E1247" s="98">
        <f>ROUND(C1247*D1247,0)</f>
        <v>863</v>
      </c>
    </row>
    <row r="1248" spans="1:5">
      <c r="A1248" s="99"/>
      <c r="B1248" s="101">
        <f>+E1248/D1253</f>
        <v>8.6300000000000005E-3</v>
      </c>
      <c r="C1248" s="98"/>
      <c r="D1248" s="99" t="s">
        <v>209</v>
      </c>
      <c r="E1248" s="100">
        <f>SUM(E1247:E1247)</f>
        <v>863</v>
      </c>
    </row>
    <row r="1249" spans="1:5">
      <c r="A1249" s="92" t="s">
        <v>219</v>
      </c>
      <c r="B1249" s="93" t="s">
        <v>164</v>
      </c>
      <c r="C1249" s="93" t="s">
        <v>2</v>
      </c>
      <c r="D1249" s="93" t="s">
        <v>202</v>
      </c>
      <c r="E1249" s="93" t="s">
        <v>203</v>
      </c>
    </row>
    <row r="1250" spans="1:5">
      <c r="A1250" s="94" t="s">
        <v>217</v>
      </c>
      <c r="B1250" s="95" t="s">
        <v>184</v>
      </c>
      <c r="C1250" s="96">
        <v>0.1</v>
      </c>
      <c r="D1250" s="97">
        <v>50000</v>
      </c>
      <c r="E1250" s="98">
        <f>ROUND(C1250*D1250,0)</f>
        <v>5000</v>
      </c>
    </row>
    <row r="1251" spans="1:5" ht="25.5">
      <c r="A1251" s="173" t="s">
        <v>233</v>
      </c>
      <c r="B1251" s="95" t="s">
        <v>188</v>
      </c>
      <c r="C1251" s="96">
        <v>1.2814000000000001</v>
      </c>
      <c r="D1251" s="97">
        <v>60000</v>
      </c>
      <c r="E1251" s="98">
        <f>ROUND(C1251*D1251,0)</f>
        <v>76884</v>
      </c>
    </row>
    <row r="1252" spans="1:5">
      <c r="A1252" s="99"/>
      <c r="B1252" s="101">
        <f>+E1252/D1253</f>
        <v>0.81884000000000001</v>
      </c>
      <c r="C1252" s="98"/>
      <c r="D1252" s="99" t="s">
        <v>209</v>
      </c>
      <c r="E1252" s="100">
        <f>SUM(E1250:E1251)</f>
        <v>81884</v>
      </c>
    </row>
    <row r="1253" spans="1:5">
      <c r="A1253" s="213" t="s">
        <v>215</v>
      </c>
      <c r="B1253" s="213"/>
      <c r="C1253" s="213"/>
      <c r="D1253" s="214">
        <f>+E1252+E1248+E1245+E1242</f>
        <v>100000</v>
      </c>
      <c r="E1253" s="214"/>
    </row>
    <row r="1255" spans="1:5" ht="20.25">
      <c r="A1255" s="200" t="s">
        <v>216</v>
      </c>
      <c r="B1255" s="201"/>
      <c r="C1255" s="201"/>
      <c r="D1255" s="201"/>
      <c r="E1255" s="202"/>
    </row>
    <row r="1256" spans="1:5">
      <c r="A1256" s="203"/>
      <c r="B1256" s="204"/>
      <c r="C1256" s="205"/>
      <c r="D1256" s="90" t="s">
        <v>199</v>
      </c>
      <c r="E1256" s="90" t="s">
        <v>164</v>
      </c>
    </row>
    <row r="1257" spans="1:5">
      <c r="A1257" s="207"/>
      <c r="B1257" s="208"/>
      <c r="C1257" s="206"/>
      <c r="D1257" s="91" t="s">
        <v>325</v>
      </c>
      <c r="E1257" s="91" t="s">
        <v>188</v>
      </c>
    </row>
    <row r="1258" spans="1:5" ht="15.75">
      <c r="A1258" s="209" t="s">
        <v>200</v>
      </c>
      <c r="B1258" s="209"/>
      <c r="C1258" s="209"/>
      <c r="D1258" s="209"/>
      <c r="E1258" s="209"/>
    </row>
    <row r="1259" spans="1:5">
      <c r="A1259" s="215" t="s">
        <v>303</v>
      </c>
      <c r="B1259" s="216"/>
      <c r="C1259" s="216"/>
      <c r="D1259" s="216"/>
      <c r="E1259" s="217"/>
    </row>
    <row r="1260" spans="1:5">
      <c r="A1260" s="92" t="s">
        <v>201</v>
      </c>
      <c r="B1260" s="93" t="s">
        <v>164</v>
      </c>
      <c r="C1260" s="93" t="s">
        <v>2</v>
      </c>
      <c r="D1260" s="93" t="s">
        <v>202</v>
      </c>
      <c r="E1260" s="93" t="s">
        <v>203</v>
      </c>
    </row>
    <row r="1261" spans="1:5">
      <c r="A1261" s="94"/>
      <c r="B1261" s="95"/>
      <c r="C1261" s="96">
        <v>0</v>
      </c>
      <c r="D1261" s="97">
        <v>0</v>
      </c>
      <c r="E1261" s="98">
        <f>ROUND(C1261*D1261,0)</f>
        <v>0</v>
      </c>
    </row>
    <row r="1262" spans="1:5">
      <c r="A1262" s="94"/>
      <c r="B1262" s="95"/>
      <c r="C1262" s="96">
        <v>0</v>
      </c>
      <c r="D1262" s="97">
        <v>0</v>
      </c>
      <c r="E1262" s="98">
        <f>ROUND(C1262*D1262,0)</f>
        <v>0</v>
      </c>
    </row>
    <row r="1263" spans="1:5">
      <c r="A1263" s="99"/>
      <c r="B1263" s="101">
        <f>+E1263/D1274</f>
        <v>0</v>
      </c>
      <c r="C1263" s="98"/>
      <c r="D1263" s="99" t="s">
        <v>209</v>
      </c>
      <c r="E1263" s="100">
        <f>SUM(E1261:E1262)</f>
        <v>0</v>
      </c>
    </row>
    <row r="1264" spans="1:5">
      <c r="A1264" s="92" t="s">
        <v>210</v>
      </c>
      <c r="B1264" s="93" t="s">
        <v>164</v>
      </c>
      <c r="C1264" s="93" t="s">
        <v>2</v>
      </c>
      <c r="D1264" s="93" t="s">
        <v>202</v>
      </c>
      <c r="E1264" s="93" t="s">
        <v>203</v>
      </c>
    </row>
    <row r="1265" spans="1:5">
      <c r="A1265" s="94" t="s">
        <v>232</v>
      </c>
      <c r="B1265" s="95" t="s">
        <v>212</v>
      </c>
      <c r="C1265" s="96">
        <v>0.3</v>
      </c>
      <c r="D1265" s="97">
        <v>57510</v>
      </c>
      <c r="E1265" s="98">
        <f>ROUND(C1265*D1265,0)</f>
        <v>17253</v>
      </c>
    </row>
    <row r="1266" spans="1:5">
      <c r="A1266" s="99"/>
      <c r="B1266" s="101">
        <f>+E1266/D1274</f>
        <v>0.26543076923076925</v>
      </c>
      <c r="C1266" s="98"/>
      <c r="D1266" s="99" t="s">
        <v>209</v>
      </c>
      <c r="E1266" s="100">
        <f>+E1265</f>
        <v>17253</v>
      </c>
    </row>
    <row r="1267" spans="1:5">
      <c r="A1267" s="92" t="s">
        <v>218</v>
      </c>
      <c r="B1267" s="93" t="s">
        <v>164</v>
      </c>
      <c r="C1267" s="93" t="s">
        <v>2</v>
      </c>
      <c r="D1267" s="93" t="s">
        <v>202</v>
      </c>
      <c r="E1267" s="93" t="s">
        <v>203</v>
      </c>
    </row>
    <row r="1268" spans="1:5">
      <c r="A1268" s="94" t="s">
        <v>213</v>
      </c>
      <c r="B1268" s="95" t="s">
        <v>214</v>
      </c>
      <c r="C1268" s="96">
        <v>0.05</v>
      </c>
      <c r="D1268" s="97">
        <f>+E1266</f>
        <v>17253</v>
      </c>
      <c r="E1268" s="98">
        <f>ROUND(C1268*D1268,0)</f>
        <v>863</v>
      </c>
    </row>
    <row r="1269" spans="1:5">
      <c r="A1269" s="99"/>
      <c r="B1269" s="101">
        <f>+E1269/D1274</f>
        <v>1.3276923076923077E-2</v>
      </c>
      <c r="C1269" s="98"/>
      <c r="D1269" s="99" t="s">
        <v>209</v>
      </c>
      <c r="E1269" s="100">
        <f>SUM(E1268:E1268)</f>
        <v>863</v>
      </c>
    </row>
    <row r="1270" spans="1:5">
      <c r="A1270" s="92" t="s">
        <v>219</v>
      </c>
      <c r="B1270" s="93" t="s">
        <v>164</v>
      </c>
      <c r="C1270" s="93" t="s">
        <v>2</v>
      </c>
      <c r="D1270" s="93" t="s">
        <v>202</v>
      </c>
      <c r="E1270" s="93" t="s">
        <v>203</v>
      </c>
    </row>
    <row r="1271" spans="1:5">
      <c r="A1271" s="94" t="s">
        <v>217</v>
      </c>
      <c r="B1271" s="95" t="s">
        <v>184</v>
      </c>
      <c r="C1271" s="96">
        <v>0.05</v>
      </c>
      <c r="D1271" s="97">
        <v>50000</v>
      </c>
      <c r="E1271" s="98">
        <f>ROUND(C1271*D1271,0)</f>
        <v>2500</v>
      </c>
    </row>
    <row r="1272" spans="1:5" ht="25.5">
      <c r="A1272" s="173" t="s">
        <v>233</v>
      </c>
      <c r="B1272" s="95" t="s">
        <v>188</v>
      </c>
      <c r="C1272" s="96">
        <v>0.73973</v>
      </c>
      <c r="D1272" s="97">
        <v>60000</v>
      </c>
      <c r="E1272" s="98">
        <f>ROUND(C1272*D1272,0)</f>
        <v>44384</v>
      </c>
    </row>
    <row r="1273" spans="1:5">
      <c r="A1273" s="99"/>
      <c r="B1273" s="101">
        <f>+E1273/D1274</f>
        <v>0.72129230769230768</v>
      </c>
      <c r="C1273" s="98"/>
      <c r="D1273" s="99" t="s">
        <v>209</v>
      </c>
      <c r="E1273" s="100">
        <f>SUM(E1271:E1272)</f>
        <v>46884</v>
      </c>
    </row>
    <row r="1274" spans="1:5">
      <c r="A1274" s="213" t="s">
        <v>215</v>
      </c>
      <c r="B1274" s="213"/>
      <c r="C1274" s="213"/>
      <c r="D1274" s="214">
        <f>+E1273+E1269+E1266+E1263</f>
        <v>65000</v>
      </c>
      <c r="E1274" s="214"/>
    </row>
    <row r="1276" spans="1:5" ht="20.25">
      <c r="A1276" s="200" t="s">
        <v>216</v>
      </c>
      <c r="B1276" s="201"/>
      <c r="C1276" s="201"/>
      <c r="D1276" s="201"/>
      <c r="E1276" s="202"/>
    </row>
    <row r="1277" spans="1:5">
      <c r="A1277" s="203"/>
      <c r="B1277" s="204"/>
      <c r="C1277" s="205"/>
      <c r="D1277" s="90" t="s">
        <v>199</v>
      </c>
      <c r="E1277" s="90" t="s">
        <v>164</v>
      </c>
    </row>
    <row r="1278" spans="1:5">
      <c r="A1278" s="207"/>
      <c r="B1278" s="208"/>
      <c r="C1278" s="206"/>
      <c r="D1278" s="91" t="s">
        <v>326</v>
      </c>
      <c r="E1278" s="91" t="s">
        <v>188</v>
      </c>
    </row>
    <row r="1279" spans="1:5" ht="15.75">
      <c r="A1279" s="209" t="s">
        <v>200</v>
      </c>
      <c r="B1279" s="209"/>
      <c r="C1279" s="209"/>
      <c r="D1279" s="209"/>
      <c r="E1279" s="209"/>
    </row>
    <row r="1280" spans="1:5" ht="26.25" customHeight="1">
      <c r="A1280" s="210" t="s">
        <v>196</v>
      </c>
      <c r="B1280" s="211"/>
      <c r="C1280" s="211"/>
      <c r="D1280" s="211"/>
      <c r="E1280" s="212"/>
    </row>
    <row r="1281" spans="1:5">
      <c r="A1281" s="92" t="s">
        <v>201</v>
      </c>
      <c r="B1281" s="93" t="s">
        <v>164</v>
      </c>
      <c r="C1281" s="93" t="s">
        <v>2</v>
      </c>
      <c r="D1281" s="93" t="s">
        <v>202</v>
      </c>
      <c r="E1281" s="93" t="s">
        <v>203</v>
      </c>
    </row>
    <row r="1282" spans="1:5">
      <c r="A1282" s="94"/>
      <c r="B1282" s="95"/>
      <c r="C1282" s="96">
        <v>0</v>
      </c>
      <c r="D1282" s="97">
        <v>0</v>
      </c>
      <c r="E1282" s="98">
        <f>ROUND(C1282*D1282,0)</f>
        <v>0</v>
      </c>
    </row>
    <row r="1283" spans="1:5">
      <c r="A1283" s="94"/>
      <c r="B1283" s="95"/>
      <c r="C1283" s="96">
        <v>0</v>
      </c>
      <c r="D1283" s="97">
        <v>0</v>
      </c>
      <c r="E1283" s="98">
        <f>ROUND(C1283*D1283,0)</f>
        <v>0</v>
      </c>
    </row>
    <row r="1284" spans="1:5">
      <c r="A1284" s="99"/>
      <c r="B1284" s="101">
        <f>+E1284/D1294</f>
        <v>0</v>
      </c>
      <c r="C1284" s="98"/>
      <c r="D1284" s="99" t="s">
        <v>209</v>
      </c>
      <c r="E1284" s="100">
        <f>SUM(E1282:E1283)</f>
        <v>0</v>
      </c>
    </row>
    <row r="1285" spans="1:5">
      <c r="A1285" s="92" t="s">
        <v>210</v>
      </c>
      <c r="B1285" s="93" t="s">
        <v>164</v>
      </c>
      <c r="C1285" s="93" t="s">
        <v>2</v>
      </c>
      <c r="D1285" s="93" t="s">
        <v>202</v>
      </c>
      <c r="E1285" s="93" t="s">
        <v>203</v>
      </c>
    </row>
    <row r="1286" spans="1:5">
      <c r="A1286" s="94" t="s">
        <v>232</v>
      </c>
      <c r="B1286" s="95" t="s">
        <v>212</v>
      </c>
      <c r="C1286" s="96">
        <v>0.17580000000000001</v>
      </c>
      <c r="D1286" s="97">
        <v>57510</v>
      </c>
      <c r="E1286" s="98">
        <f>ROUND(C1286*D1286,0)</f>
        <v>10110</v>
      </c>
    </row>
    <row r="1287" spans="1:5">
      <c r="A1287" s="99"/>
      <c r="B1287" s="101">
        <f>+E1287/D1294</f>
        <v>0.12637499999999999</v>
      </c>
      <c r="C1287" s="98"/>
      <c r="D1287" s="99" t="s">
        <v>209</v>
      </c>
      <c r="E1287" s="100">
        <f>+E1286</f>
        <v>10110</v>
      </c>
    </row>
    <row r="1288" spans="1:5">
      <c r="A1288" s="92" t="s">
        <v>218</v>
      </c>
      <c r="B1288" s="93" t="s">
        <v>164</v>
      </c>
      <c r="C1288" s="93" t="s">
        <v>2</v>
      </c>
      <c r="D1288" s="93" t="s">
        <v>202</v>
      </c>
      <c r="E1288" s="93" t="s">
        <v>203</v>
      </c>
    </row>
    <row r="1289" spans="1:5">
      <c r="A1289" s="94" t="s">
        <v>213</v>
      </c>
      <c r="B1289" s="95" t="s">
        <v>214</v>
      </c>
      <c r="C1289" s="96">
        <v>0.05</v>
      </c>
      <c r="D1289" s="97">
        <f>+E1287</f>
        <v>10110</v>
      </c>
      <c r="E1289" s="98">
        <f>ROUND(C1289*D1289,0)</f>
        <v>506</v>
      </c>
    </row>
    <row r="1290" spans="1:5">
      <c r="A1290" s="99"/>
      <c r="B1290" s="101">
        <f>+E1290/D1294</f>
        <v>6.3249999999999999E-3</v>
      </c>
      <c r="C1290" s="98"/>
      <c r="D1290" s="99" t="s">
        <v>209</v>
      </c>
      <c r="E1290" s="100">
        <f>SUM(E1289:E1289)</f>
        <v>506</v>
      </c>
    </row>
    <row r="1291" spans="1:5">
      <c r="A1291" s="92" t="s">
        <v>219</v>
      </c>
      <c r="B1291" s="93" t="s">
        <v>164</v>
      </c>
      <c r="C1291" s="93" t="s">
        <v>2</v>
      </c>
      <c r="D1291" s="93" t="s">
        <v>202</v>
      </c>
      <c r="E1291" s="93" t="s">
        <v>203</v>
      </c>
    </row>
    <row r="1292" spans="1:5" ht="25.5">
      <c r="A1292" s="173" t="s">
        <v>233</v>
      </c>
      <c r="B1292" s="95" t="s">
        <v>188</v>
      </c>
      <c r="C1292" s="96">
        <v>1.1564000000000001</v>
      </c>
      <c r="D1292" s="97">
        <v>60000</v>
      </c>
      <c r="E1292" s="98">
        <f>ROUND(C1292*D1292,0)</f>
        <v>69384</v>
      </c>
    </row>
    <row r="1293" spans="1:5">
      <c r="A1293" s="99"/>
      <c r="B1293" s="101">
        <f>+E1293/D1294</f>
        <v>0.86729999999999996</v>
      </c>
      <c r="C1293" s="98"/>
      <c r="D1293" s="99" t="s">
        <v>209</v>
      </c>
      <c r="E1293" s="100">
        <f>SUM(E1292:E1292)</f>
        <v>69384</v>
      </c>
    </row>
    <row r="1294" spans="1:5">
      <c r="A1294" s="213" t="s">
        <v>215</v>
      </c>
      <c r="B1294" s="213"/>
      <c r="C1294" s="213"/>
      <c r="D1294" s="214">
        <f>+E1293+E1290+E1287+E1284</f>
        <v>80000</v>
      </c>
      <c r="E1294" s="214"/>
    </row>
    <row r="1296" spans="1:5" ht="20.25">
      <c r="A1296" s="200" t="s">
        <v>216</v>
      </c>
      <c r="B1296" s="201"/>
      <c r="C1296" s="201"/>
      <c r="D1296" s="201"/>
      <c r="E1296" s="202"/>
    </row>
    <row r="1297" spans="1:5">
      <c r="A1297" s="203"/>
      <c r="B1297" s="204"/>
      <c r="C1297" s="205"/>
      <c r="D1297" s="90" t="s">
        <v>199</v>
      </c>
      <c r="E1297" s="90" t="s">
        <v>164</v>
      </c>
    </row>
    <row r="1298" spans="1:5">
      <c r="A1298" s="207"/>
      <c r="B1298" s="208"/>
      <c r="C1298" s="206"/>
      <c r="D1298" s="91" t="s">
        <v>327</v>
      </c>
      <c r="E1298" s="91" t="s">
        <v>189</v>
      </c>
    </row>
    <row r="1299" spans="1:5" ht="15.75">
      <c r="A1299" s="209" t="s">
        <v>200</v>
      </c>
      <c r="B1299" s="209"/>
      <c r="C1299" s="209"/>
      <c r="D1299" s="209"/>
      <c r="E1299" s="209"/>
    </row>
    <row r="1300" spans="1:5">
      <c r="A1300" s="215" t="s">
        <v>305</v>
      </c>
      <c r="B1300" s="216"/>
      <c r="C1300" s="216"/>
      <c r="D1300" s="216"/>
      <c r="E1300" s="217"/>
    </row>
    <row r="1301" spans="1:5">
      <c r="A1301" s="92" t="s">
        <v>201</v>
      </c>
      <c r="B1301" s="93" t="s">
        <v>164</v>
      </c>
      <c r="C1301" s="93" t="s">
        <v>2</v>
      </c>
      <c r="D1301" s="93" t="s">
        <v>202</v>
      </c>
      <c r="E1301" s="93" t="s">
        <v>203</v>
      </c>
    </row>
    <row r="1302" spans="1:5">
      <c r="A1302" s="94" t="s">
        <v>269</v>
      </c>
      <c r="B1302" s="95" t="s">
        <v>270</v>
      </c>
      <c r="C1302" s="96">
        <v>1.2999999999999999E-3</v>
      </c>
      <c r="D1302" s="97">
        <v>248000</v>
      </c>
      <c r="E1302" s="98">
        <f>ROUND(C1302*D1302,0)</f>
        <v>322</v>
      </c>
    </row>
    <row r="1303" spans="1:5">
      <c r="A1303" s="103" t="s">
        <v>271</v>
      </c>
      <c r="B1303" s="95" t="s">
        <v>270</v>
      </c>
      <c r="C1303" s="96">
        <v>1.2999999999999999E-3</v>
      </c>
      <c r="D1303" s="97">
        <v>360000</v>
      </c>
      <c r="E1303" s="98">
        <f t="shared" ref="E1303:E1304" si="50">ROUND(C1303*D1303,0)</f>
        <v>468</v>
      </c>
    </row>
    <row r="1304" spans="1:5">
      <c r="A1304" s="94" t="s">
        <v>446</v>
      </c>
      <c r="B1304" s="95" t="s">
        <v>189</v>
      </c>
      <c r="C1304" s="96">
        <v>1</v>
      </c>
      <c r="D1304" s="97">
        <v>3500</v>
      </c>
      <c r="E1304" s="98">
        <f t="shared" si="50"/>
        <v>3500</v>
      </c>
    </row>
    <row r="1305" spans="1:5">
      <c r="A1305" s="99"/>
      <c r="B1305" s="101">
        <f>+E1305/D1315</f>
        <v>0.14299999999999999</v>
      </c>
      <c r="C1305" s="98"/>
      <c r="D1305" s="99" t="s">
        <v>209</v>
      </c>
      <c r="E1305" s="100">
        <f>SUM(E1302:E1304)</f>
        <v>4290</v>
      </c>
    </row>
    <row r="1306" spans="1:5">
      <c r="A1306" s="92" t="s">
        <v>210</v>
      </c>
      <c r="B1306" s="93" t="s">
        <v>164</v>
      </c>
      <c r="C1306" s="93" t="s">
        <v>2</v>
      </c>
      <c r="D1306" s="93" t="s">
        <v>202</v>
      </c>
      <c r="E1306" s="93" t="s">
        <v>203</v>
      </c>
    </row>
    <row r="1307" spans="1:5">
      <c r="A1307" s="94" t="s">
        <v>247</v>
      </c>
      <c r="B1307" s="95" t="s">
        <v>212</v>
      </c>
      <c r="C1307" s="96">
        <v>0.135407</v>
      </c>
      <c r="D1307" s="97">
        <v>171670</v>
      </c>
      <c r="E1307" s="98">
        <f>ROUND(C1307*D1307,0)</f>
        <v>23245</v>
      </c>
    </row>
    <row r="1308" spans="1:5">
      <c r="A1308" s="99"/>
      <c r="B1308" s="101">
        <f>+E1308/D1315</f>
        <v>0.77483333333333337</v>
      </c>
      <c r="C1308" s="98"/>
      <c r="D1308" s="99" t="s">
        <v>209</v>
      </c>
      <c r="E1308" s="100">
        <f>+E1307</f>
        <v>23245</v>
      </c>
    </row>
    <row r="1309" spans="1:5">
      <c r="A1309" s="92" t="s">
        <v>218</v>
      </c>
      <c r="B1309" s="93" t="s">
        <v>164</v>
      </c>
      <c r="C1309" s="93" t="s">
        <v>2</v>
      </c>
      <c r="D1309" s="93" t="s">
        <v>202</v>
      </c>
      <c r="E1309" s="93" t="s">
        <v>203</v>
      </c>
    </row>
    <row r="1310" spans="1:5">
      <c r="A1310" s="94" t="s">
        <v>213</v>
      </c>
      <c r="B1310" s="95" t="s">
        <v>214</v>
      </c>
      <c r="C1310" s="96">
        <v>0.05</v>
      </c>
      <c r="D1310" s="97">
        <f>+E1305</f>
        <v>4290</v>
      </c>
      <c r="E1310" s="98">
        <f>ROUND(C1310*D1310,0)</f>
        <v>215</v>
      </c>
    </row>
    <row r="1311" spans="1:5">
      <c r="A1311" s="99"/>
      <c r="B1311" s="101">
        <f>+E1311/D1315</f>
        <v>7.1666666666666667E-3</v>
      </c>
      <c r="C1311" s="98"/>
      <c r="D1311" s="99" t="s">
        <v>209</v>
      </c>
      <c r="E1311" s="100">
        <f>SUM(E1310:E1310)</f>
        <v>215</v>
      </c>
    </row>
    <row r="1312" spans="1:5">
      <c r="A1312" s="92" t="s">
        <v>219</v>
      </c>
      <c r="B1312" s="93" t="s">
        <v>164</v>
      </c>
      <c r="C1312" s="93" t="s">
        <v>2</v>
      </c>
      <c r="D1312" s="93" t="s">
        <v>202</v>
      </c>
      <c r="E1312" s="93" t="s">
        <v>203</v>
      </c>
    </row>
    <row r="1313" spans="1:5">
      <c r="A1313" s="94" t="s">
        <v>217</v>
      </c>
      <c r="B1313" s="95" t="s">
        <v>190</v>
      </c>
      <c r="C1313" s="96">
        <v>0.03</v>
      </c>
      <c r="D1313" s="97">
        <v>75000</v>
      </c>
      <c r="E1313" s="98">
        <f>ROUND(C1313*D1313,0)</f>
        <v>2250</v>
      </c>
    </row>
    <row r="1314" spans="1:5">
      <c r="A1314" s="99"/>
      <c r="B1314" s="101">
        <f>+E1314/D1315</f>
        <v>7.4999999999999997E-2</v>
      </c>
      <c r="C1314" s="98"/>
      <c r="D1314" s="99" t="s">
        <v>209</v>
      </c>
      <c r="E1314" s="100">
        <f>SUM(E1313:E1313)</f>
        <v>2250</v>
      </c>
    </row>
    <row r="1315" spans="1:5">
      <c r="A1315" s="213" t="s">
        <v>215</v>
      </c>
      <c r="B1315" s="213"/>
      <c r="C1315" s="213"/>
      <c r="D1315" s="214">
        <f>+E1314+E1311+E1308+E1305</f>
        <v>30000</v>
      </c>
      <c r="E1315" s="214"/>
    </row>
    <row r="1317" spans="1:5" ht="20.25">
      <c r="A1317" s="200" t="s">
        <v>216</v>
      </c>
      <c r="B1317" s="201"/>
      <c r="C1317" s="201"/>
      <c r="D1317" s="201"/>
      <c r="E1317" s="202"/>
    </row>
    <row r="1318" spans="1:5">
      <c r="A1318" s="203"/>
      <c r="B1318" s="204"/>
      <c r="C1318" s="205"/>
      <c r="D1318" s="90" t="s">
        <v>199</v>
      </c>
      <c r="E1318" s="90" t="s">
        <v>164</v>
      </c>
    </row>
    <row r="1319" spans="1:5">
      <c r="A1319" s="207"/>
      <c r="B1319" s="208"/>
      <c r="C1319" s="206"/>
      <c r="D1319" s="91" t="s">
        <v>328</v>
      </c>
      <c r="E1319" s="91" t="s">
        <v>189</v>
      </c>
    </row>
    <row r="1320" spans="1:5" ht="15.75">
      <c r="A1320" s="209" t="s">
        <v>200</v>
      </c>
      <c r="B1320" s="209"/>
      <c r="C1320" s="209"/>
      <c r="D1320" s="209"/>
      <c r="E1320" s="209"/>
    </row>
    <row r="1321" spans="1:5">
      <c r="A1321" s="215" t="s">
        <v>447</v>
      </c>
      <c r="B1321" s="216"/>
      <c r="C1321" s="216"/>
      <c r="D1321" s="216"/>
      <c r="E1321" s="217"/>
    </row>
    <row r="1322" spans="1:5">
      <c r="A1322" s="92" t="s">
        <v>201</v>
      </c>
      <c r="B1322" s="93" t="s">
        <v>164</v>
      </c>
      <c r="C1322" s="93" t="s">
        <v>2</v>
      </c>
      <c r="D1322" s="93" t="s">
        <v>202</v>
      </c>
      <c r="E1322" s="93" t="s">
        <v>203</v>
      </c>
    </row>
    <row r="1323" spans="1:5">
      <c r="A1323" s="94" t="s">
        <v>269</v>
      </c>
      <c r="B1323" s="95" t="s">
        <v>270</v>
      </c>
      <c r="C1323" s="96">
        <v>1.2999999999999999E-3</v>
      </c>
      <c r="D1323" s="97">
        <v>248000</v>
      </c>
      <c r="E1323" s="98">
        <f>ROUND(C1323*D1323,0)</f>
        <v>322</v>
      </c>
    </row>
    <row r="1324" spans="1:5">
      <c r="A1324" s="103" t="s">
        <v>271</v>
      </c>
      <c r="B1324" s="95" t="s">
        <v>270</v>
      </c>
      <c r="C1324" s="96">
        <v>1.2999999999999999E-3</v>
      </c>
      <c r="D1324" s="97">
        <v>360000</v>
      </c>
      <c r="E1324" s="98">
        <f t="shared" ref="E1324:E1325" si="51">ROUND(C1324*D1324,0)</f>
        <v>468</v>
      </c>
    </row>
    <row r="1325" spans="1:5">
      <c r="A1325" s="94" t="s">
        <v>448</v>
      </c>
      <c r="B1325" s="95" t="s">
        <v>189</v>
      </c>
      <c r="C1325" s="96">
        <v>1</v>
      </c>
      <c r="D1325" s="97">
        <v>3000</v>
      </c>
      <c r="E1325" s="98">
        <f t="shared" si="51"/>
        <v>3000</v>
      </c>
    </row>
    <row r="1326" spans="1:5">
      <c r="A1326" s="99"/>
      <c r="B1326" s="101">
        <f>+E1326/D1336</f>
        <v>0.15160000000000001</v>
      </c>
      <c r="C1326" s="98"/>
      <c r="D1326" s="99" t="s">
        <v>209</v>
      </c>
      <c r="E1326" s="100">
        <f>SUM(E1323:E1325)</f>
        <v>3790</v>
      </c>
    </row>
    <row r="1327" spans="1:5">
      <c r="A1327" s="92" t="s">
        <v>210</v>
      </c>
      <c r="B1327" s="93" t="s">
        <v>164</v>
      </c>
      <c r="C1327" s="93" t="s">
        <v>2</v>
      </c>
      <c r="D1327" s="93" t="s">
        <v>202</v>
      </c>
      <c r="E1327" s="93" t="s">
        <v>203</v>
      </c>
    </row>
    <row r="1328" spans="1:5">
      <c r="A1328" s="94" t="s">
        <v>247</v>
      </c>
      <c r="B1328" s="95" t="s">
        <v>212</v>
      </c>
      <c r="C1328" s="96">
        <v>0.118075</v>
      </c>
      <c r="D1328" s="97">
        <v>171670</v>
      </c>
      <c r="E1328" s="98">
        <f>ROUND(C1328*D1328,0)</f>
        <v>20270</v>
      </c>
    </row>
    <row r="1329" spans="1:5">
      <c r="A1329" s="99"/>
      <c r="B1329" s="101">
        <f>+E1329/D1336</f>
        <v>0.81079999999999997</v>
      </c>
      <c r="C1329" s="98"/>
      <c r="D1329" s="99" t="s">
        <v>209</v>
      </c>
      <c r="E1329" s="100">
        <f>+E1328</f>
        <v>20270</v>
      </c>
    </row>
    <row r="1330" spans="1:5">
      <c r="A1330" s="92" t="s">
        <v>218</v>
      </c>
      <c r="B1330" s="93" t="s">
        <v>164</v>
      </c>
      <c r="C1330" s="93" t="s">
        <v>2</v>
      </c>
      <c r="D1330" s="93" t="s">
        <v>202</v>
      </c>
      <c r="E1330" s="93" t="s">
        <v>203</v>
      </c>
    </row>
    <row r="1331" spans="1:5">
      <c r="A1331" s="94" t="s">
        <v>213</v>
      </c>
      <c r="B1331" s="95" t="s">
        <v>214</v>
      </c>
      <c r="C1331" s="96">
        <v>0.05</v>
      </c>
      <c r="D1331" s="97">
        <f>+E1326</f>
        <v>3790</v>
      </c>
      <c r="E1331" s="98">
        <f>ROUND(C1331*D1331,0)</f>
        <v>190</v>
      </c>
    </row>
    <row r="1332" spans="1:5">
      <c r="A1332" s="99"/>
      <c r="B1332" s="101">
        <f>+E1332/D1336</f>
        <v>7.6E-3</v>
      </c>
      <c r="C1332" s="98"/>
      <c r="D1332" s="99" t="s">
        <v>209</v>
      </c>
      <c r="E1332" s="100">
        <f>SUM(E1331:E1331)</f>
        <v>190</v>
      </c>
    </row>
    <row r="1333" spans="1:5">
      <c r="A1333" s="92" t="s">
        <v>219</v>
      </c>
      <c r="B1333" s="93" t="s">
        <v>164</v>
      </c>
      <c r="C1333" s="93" t="s">
        <v>2</v>
      </c>
      <c r="D1333" s="93" t="s">
        <v>202</v>
      </c>
      <c r="E1333" s="93" t="s">
        <v>203</v>
      </c>
    </row>
    <row r="1334" spans="1:5">
      <c r="A1334" s="94" t="s">
        <v>217</v>
      </c>
      <c r="B1334" s="95" t="s">
        <v>190</v>
      </c>
      <c r="C1334" s="96">
        <v>0.01</v>
      </c>
      <c r="D1334" s="97">
        <v>75000</v>
      </c>
      <c r="E1334" s="98">
        <f>ROUND(C1334*D1334,0)</f>
        <v>750</v>
      </c>
    </row>
    <row r="1335" spans="1:5">
      <c r="A1335" s="99"/>
      <c r="B1335" s="101">
        <f>+E1335/D1336</f>
        <v>0.03</v>
      </c>
      <c r="C1335" s="98"/>
      <c r="D1335" s="99" t="s">
        <v>209</v>
      </c>
      <c r="E1335" s="100">
        <f>SUM(E1334:E1334)</f>
        <v>750</v>
      </c>
    </row>
    <row r="1336" spans="1:5">
      <c r="A1336" s="213" t="s">
        <v>215</v>
      </c>
      <c r="B1336" s="213"/>
      <c r="C1336" s="213"/>
      <c r="D1336" s="214">
        <f>+E1335+E1332+E1329+E1326</f>
        <v>25000</v>
      </c>
      <c r="E1336" s="214"/>
    </row>
    <row r="1338" spans="1:5" ht="20.25">
      <c r="A1338" s="200" t="s">
        <v>216</v>
      </c>
      <c r="B1338" s="201"/>
      <c r="C1338" s="201"/>
      <c r="D1338" s="201"/>
      <c r="E1338" s="202"/>
    </row>
    <row r="1339" spans="1:5">
      <c r="A1339" s="203"/>
      <c r="B1339" s="204"/>
      <c r="C1339" s="205"/>
      <c r="D1339" s="90" t="s">
        <v>199</v>
      </c>
      <c r="E1339" s="90" t="s">
        <v>164</v>
      </c>
    </row>
    <row r="1340" spans="1:5">
      <c r="A1340" s="207"/>
      <c r="B1340" s="208"/>
      <c r="C1340" s="206"/>
      <c r="D1340" s="91" t="s">
        <v>329</v>
      </c>
      <c r="E1340" s="91" t="s">
        <v>164</v>
      </c>
    </row>
    <row r="1341" spans="1:5" ht="15.75">
      <c r="A1341" s="209" t="s">
        <v>200</v>
      </c>
      <c r="B1341" s="209"/>
      <c r="C1341" s="209"/>
      <c r="D1341" s="209"/>
      <c r="E1341" s="209"/>
    </row>
    <row r="1342" spans="1:5" ht="46.5" customHeight="1">
      <c r="A1342" s="210" t="s">
        <v>307</v>
      </c>
      <c r="B1342" s="211"/>
      <c r="C1342" s="211"/>
      <c r="D1342" s="211"/>
      <c r="E1342" s="212"/>
    </row>
    <row r="1343" spans="1:5">
      <c r="A1343" s="92" t="s">
        <v>201</v>
      </c>
      <c r="B1343" s="93" t="s">
        <v>164</v>
      </c>
      <c r="C1343" s="93" t="s">
        <v>2</v>
      </c>
      <c r="D1343" s="93" t="s">
        <v>202</v>
      </c>
      <c r="E1343" s="93" t="s">
        <v>203</v>
      </c>
    </row>
    <row r="1344" spans="1:5">
      <c r="A1344" s="94" t="s">
        <v>269</v>
      </c>
      <c r="B1344" s="95" t="s">
        <v>270</v>
      </c>
      <c r="C1344" s="96">
        <v>2E-3</v>
      </c>
      <c r="D1344" s="97">
        <v>248000</v>
      </c>
      <c r="E1344" s="98">
        <f>ROUND(C1344*D1344,0)</f>
        <v>496</v>
      </c>
    </row>
    <row r="1345" spans="1:5">
      <c r="A1345" s="103" t="s">
        <v>271</v>
      </c>
      <c r="B1345" s="95" t="s">
        <v>270</v>
      </c>
      <c r="C1345" s="96">
        <v>2E-3</v>
      </c>
      <c r="D1345" s="97">
        <v>360000</v>
      </c>
      <c r="E1345" s="98">
        <f t="shared" ref="E1345:E1347" si="52">ROUND(C1345*D1345,0)</f>
        <v>720</v>
      </c>
    </row>
    <row r="1346" spans="1:5">
      <c r="A1346" s="94" t="s">
        <v>450</v>
      </c>
      <c r="B1346" s="95" t="s">
        <v>189</v>
      </c>
      <c r="C1346" s="96">
        <v>1</v>
      </c>
      <c r="D1346" s="97">
        <v>3000</v>
      </c>
      <c r="E1346" s="98">
        <f t="shared" si="52"/>
        <v>3000</v>
      </c>
    </row>
    <row r="1347" spans="1:5">
      <c r="A1347" s="94" t="s">
        <v>449</v>
      </c>
      <c r="B1347" s="95" t="s">
        <v>164</v>
      </c>
      <c r="C1347" s="96">
        <v>3</v>
      </c>
      <c r="D1347" s="97">
        <v>550</v>
      </c>
      <c r="E1347" s="98">
        <f t="shared" si="52"/>
        <v>1650</v>
      </c>
    </row>
    <row r="1348" spans="1:5">
      <c r="A1348" s="99"/>
      <c r="B1348" s="101">
        <f>+E1348/D1358</f>
        <v>0.1676</v>
      </c>
      <c r="C1348" s="98"/>
      <c r="D1348" s="99" t="s">
        <v>209</v>
      </c>
      <c r="E1348" s="100">
        <f>SUM(E1344:E1347)</f>
        <v>5866</v>
      </c>
    </row>
    <row r="1349" spans="1:5">
      <c r="A1349" s="92" t="s">
        <v>210</v>
      </c>
      <c r="B1349" s="93" t="s">
        <v>164</v>
      </c>
      <c r="C1349" s="93" t="s">
        <v>2</v>
      </c>
      <c r="D1349" s="93" t="s">
        <v>202</v>
      </c>
      <c r="E1349" s="93" t="s">
        <v>203</v>
      </c>
    </row>
    <row r="1350" spans="1:5">
      <c r="A1350" s="94" t="s">
        <v>247</v>
      </c>
      <c r="B1350" s="95" t="s">
        <v>212</v>
      </c>
      <c r="C1350" s="96">
        <v>0.163635</v>
      </c>
      <c r="D1350" s="97">
        <v>171670</v>
      </c>
      <c r="E1350" s="98">
        <f>ROUND(C1350*D1350,0)</f>
        <v>28091</v>
      </c>
    </row>
    <row r="1351" spans="1:5">
      <c r="A1351" s="99"/>
      <c r="B1351" s="101">
        <f>+E1351/D1358</f>
        <v>0.80259999999999998</v>
      </c>
      <c r="C1351" s="98"/>
      <c r="D1351" s="99" t="s">
        <v>209</v>
      </c>
      <c r="E1351" s="100">
        <f>+E1350</f>
        <v>28091</v>
      </c>
    </row>
    <row r="1352" spans="1:5">
      <c r="A1352" s="92" t="s">
        <v>218</v>
      </c>
      <c r="B1352" s="93" t="s">
        <v>164</v>
      </c>
      <c r="C1352" s="93" t="s">
        <v>2</v>
      </c>
      <c r="D1352" s="93" t="s">
        <v>202</v>
      </c>
      <c r="E1352" s="93" t="s">
        <v>203</v>
      </c>
    </row>
    <row r="1353" spans="1:5">
      <c r="A1353" s="94" t="s">
        <v>213</v>
      </c>
      <c r="B1353" s="95" t="s">
        <v>214</v>
      </c>
      <c r="C1353" s="96">
        <v>0.05</v>
      </c>
      <c r="D1353" s="97">
        <f>+E1348</f>
        <v>5866</v>
      </c>
      <c r="E1353" s="98">
        <f>ROUND(C1353*D1353,0)</f>
        <v>293</v>
      </c>
    </row>
    <row r="1354" spans="1:5">
      <c r="A1354" s="99"/>
      <c r="B1354" s="101">
        <f>+E1354/D1358</f>
        <v>8.3714285714285713E-3</v>
      </c>
      <c r="C1354" s="98"/>
      <c r="D1354" s="99" t="s">
        <v>209</v>
      </c>
      <c r="E1354" s="100">
        <f>SUM(E1353:E1353)</f>
        <v>293</v>
      </c>
    </row>
    <row r="1355" spans="1:5">
      <c r="A1355" s="92" t="s">
        <v>219</v>
      </c>
      <c r="B1355" s="93" t="s">
        <v>164</v>
      </c>
      <c r="C1355" s="93" t="s">
        <v>2</v>
      </c>
      <c r="D1355" s="93" t="s">
        <v>202</v>
      </c>
      <c r="E1355" s="93" t="s">
        <v>203</v>
      </c>
    </row>
    <row r="1356" spans="1:5">
      <c r="A1356" s="94" t="s">
        <v>217</v>
      </c>
      <c r="B1356" s="95" t="s">
        <v>190</v>
      </c>
      <c r="C1356" s="96">
        <v>0.01</v>
      </c>
      <c r="D1356" s="97">
        <v>75000</v>
      </c>
      <c r="E1356" s="98">
        <f>ROUND(C1356*D1356,0)</f>
        <v>750</v>
      </c>
    </row>
    <row r="1357" spans="1:5">
      <c r="A1357" s="99"/>
      <c r="B1357" s="101">
        <f>+E1357/D1358</f>
        <v>2.1428571428571429E-2</v>
      </c>
      <c r="C1357" s="98"/>
      <c r="D1357" s="99" t="s">
        <v>209</v>
      </c>
      <c r="E1357" s="100">
        <f>SUM(E1356:E1356)</f>
        <v>750</v>
      </c>
    </row>
    <row r="1358" spans="1:5">
      <c r="A1358" s="213" t="s">
        <v>215</v>
      </c>
      <c r="B1358" s="213"/>
      <c r="C1358" s="213"/>
      <c r="D1358" s="214">
        <f>+E1357+E1354+E1351+E1348</f>
        <v>35000</v>
      </c>
      <c r="E1358" s="214"/>
    </row>
    <row r="1360" spans="1:5" ht="20.25">
      <c r="A1360" s="200" t="s">
        <v>216</v>
      </c>
      <c r="B1360" s="201"/>
      <c r="C1360" s="201"/>
      <c r="D1360" s="201"/>
      <c r="E1360" s="202"/>
    </row>
    <row r="1361" spans="1:5">
      <c r="A1361" s="203"/>
      <c r="B1361" s="204"/>
      <c r="C1361" s="205"/>
      <c r="D1361" s="90" t="s">
        <v>199</v>
      </c>
      <c r="E1361" s="90" t="s">
        <v>164</v>
      </c>
    </row>
    <row r="1362" spans="1:5">
      <c r="A1362" s="207"/>
      <c r="B1362" s="208"/>
      <c r="C1362" s="206"/>
      <c r="D1362" s="91" t="s">
        <v>330</v>
      </c>
      <c r="E1362" s="91" t="s">
        <v>164</v>
      </c>
    </row>
    <row r="1363" spans="1:5" ht="15.75">
      <c r="A1363" s="209" t="s">
        <v>200</v>
      </c>
      <c r="B1363" s="209"/>
      <c r="C1363" s="209"/>
      <c r="D1363" s="209"/>
      <c r="E1363" s="209"/>
    </row>
    <row r="1364" spans="1:5" ht="28.5" customHeight="1">
      <c r="A1364" s="210" t="s">
        <v>308</v>
      </c>
      <c r="B1364" s="211"/>
      <c r="C1364" s="211"/>
      <c r="D1364" s="211"/>
      <c r="E1364" s="212"/>
    </row>
    <row r="1365" spans="1:5">
      <c r="A1365" s="92" t="s">
        <v>201</v>
      </c>
      <c r="B1365" s="93" t="s">
        <v>164</v>
      </c>
      <c r="C1365" s="93" t="s">
        <v>2</v>
      </c>
      <c r="D1365" s="93" t="s">
        <v>202</v>
      </c>
      <c r="E1365" s="93" t="s">
        <v>203</v>
      </c>
    </row>
    <row r="1366" spans="1:5">
      <c r="A1366" s="94" t="s">
        <v>234</v>
      </c>
      <c r="B1366" s="95" t="s">
        <v>188</v>
      </c>
      <c r="C1366" s="96">
        <v>0.05</v>
      </c>
      <c r="D1366" s="97">
        <v>140000</v>
      </c>
      <c r="E1366" s="98">
        <f>ROUND(C1366*D1366,0)</f>
        <v>7000</v>
      </c>
    </row>
    <row r="1367" spans="1:5">
      <c r="A1367" s="94" t="s">
        <v>235</v>
      </c>
      <c r="B1367" s="95" t="s">
        <v>188</v>
      </c>
      <c r="C1367" s="96">
        <v>0.15</v>
      </c>
      <c r="D1367" s="97">
        <v>140000</v>
      </c>
      <c r="E1367" s="98">
        <f t="shared" ref="E1367:E1371" si="53">ROUND(C1367*D1367,0)</f>
        <v>21000</v>
      </c>
    </row>
    <row r="1368" spans="1:5">
      <c r="A1368" s="94" t="s">
        <v>236</v>
      </c>
      <c r="B1368" s="95" t="s">
        <v>238</v>
      </c>
      <c r="C1368" s="96">
        <v>1.5</v>
      </c>
      <c r="D1368" s="97">
        <v>30000</v>
      </c>
      <c r="E1368" s="98">
        <f t="shared" si="53"/>
        <v>45000</v>
      </c>
    </row>
    <row r="1369" spans="1:5">
      <c r="A1369" s="94" t="s">
        <v>239</v>
      </c>
      <c r="B1369" s="95" t="s">
        <v>207</v>
      </c>
      <c r="C1369" s="96">
        <v>0.25</v>
      </c>
      <c r="D1369" s="97">
        <v>4900</v>
      </c>
      <c r="E1369" s="98">
        <f t="shared" si="53"/>
        <v>1225</v>
      </c>
    </row>
    <row r="1370" spans="1:5">
      <c r="A1370" s="94" t="s">
        <v>206</v>
      </c>
      <c r="B1370" s="95" t="s">
        <v>164</v>
      </c>
      <c r="C1370" s="96">
        <v>1</v>
      </c>
      <c r="D1370" s="97">
        <v>10000</v>
      </c>
      <c r="E1370" s="98">
        <f t="shared" si="53"/>
        <v>10000</v>
      </c>
    </row>
    <row r="1371" spans="1:5">
      <c r="A1371" s="94" t="s">
        <v>241</v>
      </c>
      <c r="B1371" s="95" t="s">
        <v>164</v>
      </c>
      <c r="C1371" s="96">
        <v>0.5</v>
      </c>
      <c r="D1371" s="97">
        <v>280000</v>
      </c>
      <c r="E1371" s="98">
        <f t="shared" si="53"/>
        <v>140000</v>
      </c>
    </row>
    <row r="1372" spans="1:5">
      <c r="A1372" s="99"/>
      <c r="B1372" s="101">
        <f>+E1372/D1382</f>
        <v>0.74741666666666662</v>
      </c>
      <c r="C1372" s="98"/>
      <c r="D1372" s="99" t="s">
        <v>209</v>
      </c>
      <c r="E1372" s="100">
        <f>SUM(E1366:E1371)</f>
        <v>224225</v>
      </c>
    </row>
    <row r="1373" spans="1:5">
      <c r="A1373" s="92" t="s">
        <v>210</v>
      </c>
      <c r="B1373" s="93" t="s">
        <v>164</v>
      </c>
      <c r="C1373" s="93" t="s">
        <v>2</v>
      </c>
      <c r="D1373" s="93" t="s">
        <v>202</v>
      </c>
      <c r="E1373" s="93" t="s">
        <v>203</v>
      </c>
    </row>
    <row r="1374" spans="1:5">
      <c r="A1374" s="94" t="s">
        <v>247</v>
      </c>
      <c r="B1374" s="95" t="s">
        <v>212</v>
      </c>
      <c r="C1374" s="96">
        <v>0.36953799999999998</v>
      </c>
      <c r="D1374" s="97">
        <v>171670</v>
      </c>
      <c r="E1374" s="98">
        <f>ROUND(C1374*D1374,0)</f>
        <v>63439</v>
      </c>
    </row>
    <row r="1375" spans="1:5">
      <c r="A1375" s="99"/>
      <c r="B1375" s="101">
        <f>+E1375/D1382</f>
        <v>0.21146333333333334</v>
      </c>
      <c r="C1375" s="98"/>
      <c r="D1375" s="99" t="s">
        <v>209</v>
      </c>
      <c r="E1375" s="100">
        <f>+E1374</f>
        <v>63439</v>
      </c>
    </row>
    <row r="1376" spans="1:5">
      <c r="A1376" s="92" t="s">
        <v>218</v>
      </c>
      <c r="B1376" s="93" t="s">
        <v>164</v>
      </c>
      <c r="C1376" s="93" t="s">
        <v>2</v>
      </c>
      <c r="D1376" s="93" t="s">
        <v>202</v>
      </c>
      <c r="E1376" s="93" t="s">
        <v>203</v>
      </c>
    </row>
    <row r="1377" spans="1:5">
      <c r="A1377" s="94" t="s">
        <v>213</v>
      </c>
      <c r="B1377" s="95" t="s">
        <v>214</v>
      </c>
      <c r="C1377" s="96">
        <v>0.05</v>
      </c>
      <c r="D1377" s="97">
        <f>+E1372</f>
        <v>224225</v>
      </c>
      <c r="E1377" s="98">
        <f>ROUND(C1377*D1377,0)</f>
        <v>11211</v>
      </c>
    </row>
    <row r="1378" spans="1:5">
      <c r="A1378" s="99"/>
      <c r="B1378" s="101">
        <f>+E1378/D1382</f>
        <v>3.737E-2</v>
      </c>
      <c r="C1378" s="98"/>
      <c r="D1378" s="99" t="s">
        <v>209</v>
      </c>
      <c r="E1378" s="100">
        <f>SUM(E1377:E1377)</f>
        <v>11211</v>
      </c>
    </row>
    <row r="1379" spans="1:5">
      <c r="A1379" s="92" t="s">
        <v>219</v>
      </c>
      <c r="B1379" s="93" t="s">
        <v>164</v>
      </c>
      <c r="C1379" s="93" t="s">
        <v>2</v>
      </c>
      <c r="D1379" s="93" t="s">
        <v>202</v>
      </c>
      <c r="E1379" s="93" t="s">
        <v>203</v>
      </c>
    </row>
    <row r="1380" spans="1:5">
      <c r="A1380" s="94" t="s">
        <v>217</v>
      </c>
      <c r="B1380" s="95" t="s">
        <v>190</v>
      </c>
      <c r="C1380" s="96">
        <v>1.4999999999999999E-2</v>
      </c>
      <c r="D1380" s="97">
        <v>75000</v>
      </c>
      <c r="E1380" s="98">
        <f>ROUND(C1380*D1380,0)</f>
        <v>1125</v>
      </c>
    </row>
    <row r="1381" spans="1:5">
      <c r="A1381" s="99"/>
      <c r="B1381" s="101">
        <f>+E1381/D1382</f>
        <v>3.7499999999999999E-3</v>
      </c>
      <c r="C1381" s="98"/>
      <c r="D1381" s="99" t="s">
        <v>209</v>
      </c>
      <c r="E1381" s="100">
        <f>SUM(E1380:E1380)</f>
        <v>1125</v>
      </c>
    </row>
    <row r="1382" spans="1:5">
      <c r="A1382" s="213" t="s">
        <v>215</v>
      </c>
      <c r="B1382" s="213"/>
      <c r="C1382" s="213"/>
      <c r="D1382" s="214">
        <f>+E1381+E1378+E1375+E1372</f>
        <v>300000</v>
      </c>
      <c r="E1382" s="214"/>
    </row>
    <row r="1384" spans="1:5" ht="20.25">
      <c r="A1384" s="200" t="s">
        <v>216</v>
      </c>
      <c r="B1384" s="201"/>
      <c r="C1384" s="201"/>
      <c r="D1384" s="201"/>
      <c r="E1384" s="202"/>
    </row>
    <row r="1385" spans="1:5">
      <c r="A1385" s="203"/>
      <c r="B1385" s="204"/>
      <c r="C1385" s="205"/>
      <c r="D1385" s="90" t="s">
        <v>199</v>
      </c>
      <c r="E1385" s="90" t="s">
        <v>164</v>
      </c>
    </row>
    <row r="1386" spans="1:5">
      <c r="A1386" s="207"/>
      <c r="B1386" s="208"/>
      <c r="C1386" s="206"/>
      <c r="D1386" s="91" t="s">
        <v>331</v>
      </c>
      <c r="E1386" s="91" t="s">
        <v>164</v>
      </c>
    </row>
    <row r="1387" spans="1:5" ht="15.75">
      <c r="A1387" s="209" t="s">
        <v>200</v>
      </c>
      <c r="B1387" s="209"/>
      <c r="C1387" s="209"/>
      <c r="D1387" s="209"/>
      <c r="E1387" s="209"/>
    </row>
    <row r="1388" spans="1:5">
      <c r="A1388" s="215" t="s">
        <v>309</v>
      </c>
      <c r="B1388" s="216"/>
      <c r="C1388" s="216"/>
      <c r="D1388" s="216"/>
      <c r="E1388" s="217"/>
    </row>
    <row r="1389" spans="1:5">
      <c r="A1389" s="92" t="s">
        <v>201</v>
      </c>
      <c r="B1389" s="93" t="s">
        <v>164</v>
      </c>
      <c r="C1389" s="93" t="s">
        <v>2</v>
      </c>
      <c r="D1389" s="93" t="s">
        <v>202</v>
      </c>
      <c r="E1389" s="93" t="s">
        <v>203</v>
      </c>
    </row>
    <row r="1390" spans="1:5">
      <c r="A1390" s="94" t="s">
        <v>452</v>
      </c>
      <c r="B1390" s="95" t="s">
        <v>164</v>
      </c>
      <c r="C1390" s="96">
        <v>1</v>
      </c>
      <c r="D1390" s="97">
        <v>40000</v>
      </c>
      <c r="E1390" s="98">
        <f>ROUND(C1390*D1390,0)</f>
        <v>40000</v>
      </c>
    </row>
    <row r="1391" spans="1:5">
      <c r="A1391" s="94" t="s">
        <v>451</v>
      </c>
      <c r="B1391" s="95" t="s">
        <v>164</v>
      </c>
      <c r="C1391" s="96">
        <v>2</v>
      </c>
      <c r="D1391" s="97">
        <v>950</v>
      </c>
      <c r="E1391" s="98">
        <f t="shared" ref="E1391" si="54">ROUND(C1391*D1391,0)</f>
        <v>1900</v>
      </c>
    </row>
    <row r="1392" spans="1:5">
      <c r="A1392" s="99"/>
      <c r="B1392" s="101">
        <f>+E1392/D1402</f>
        <v>0.83799999999999997</v>
      </c>
      <c r="C1392" s="98"/>
      <c r="D1392" s="99" t="s">
        <v>209</v>
      </c>
      <c r="E1392" s="100">
        <f>SUM(E1390:E1391)</f>
        <v>41900</v>
      </c>
    </row>
    <row r="1393" spans="1:5">
      <c r="A1393" s="92" t="s">
        <v>210</v>
      </c>
      <c r="B1393" s="93" t="s">
        <v>164</v>
      </c>
      <c r="C1393" s="93" t="s">
        <v>2</v>
      </c>
      <c r="D1393" s="93" t="s">
        <v>202</v>
      </c>
      <c r="E1393" s="93" t="s">
        <v>203</v>
      </c>
    </row>
    <row r="1394" spans="1:5">
      <c r="A1394" s="94" t="s">
        <v>247</v>
      </c>
      <c r="B1394" s="95" t="s">
        <v>212</v>
      </c>
      <c r="C1394" s="96">
        <v>3.0609999999999998E-2</v>
      </c>
      <c r="D1394" s="97">
        <v>171670</v>
      </c>
      <c r="E1394" s="98">
        <f>ROUND(C1394*D1394,0)</f>
        <v>5255</v>
      </c>
    </row>
    <row r="1395" spans="1:5">
      <c r="A1395" s="99"/>
      <c r="B1395" s="101">
        <f>+E1395/D1402</f>
        <v>0.1051</v>
      </c>
      <c r="C1395" s="98"/>
      <c r="D1395" s="99" t="s">
        <v>209</v>
      </c>
      <c r="E1395" s="100">
        <f>+E1394</f>
        <v>5255</v>
      </c>
    </row>
    <row r="1396" spans="1:5">
      <c r="A1396" s="92" t="s">
        <v>218</v>
      </c>
      <c r="B1396" s="93" t="s">
        <v>164</v>
      </c>
      <c r="C1396" s="93" t="s">
        <v>2</v>
      </c>
      <c r="D1396" s="93" t="s">
        <v>202</v>
      </c>
      <c r="E1396" s="93" t="s">
        <v>203</v>
      </c>
    </row>
    <row r="1397" spans="1:5">
      <c r="A1397" s="94" t="s">
        <v>213</v>
      </c>
      <c r="B1397" s="95" t="s">
        <v>214</v>
      </c>
      <c r="C1397" s="96">
        <v>0.05</v>
      </c>
      <c r="D1397" s="97">
        <f>+E1392</f>
        <v>41900</v>
      </c>
      <c r="E1397" s="98">
        <f>ROUND(C1397*D1397,0)</f>
        <v>2095</v>
      </c>
    </row>
    <row r="1398" spans="1:5">
      <c r="A1398" s="99"/>
      <c r="B1398" s="101">
        <f>+E1398/D1402</f>
        <v>4.19E-2</v>
      </c>
      <c r="C1398" s="98"/>
      <c r="D1398" s="99" t="s">
        <v>209</v>
      </c>
      <c r="E1398" s="100">
        <f>SUM(E1397:E1397)</f>
        <v>2095</v>
      </c>
    </row>
    <row r="1399" spans="1:5">
      <c r="A1399" s="92" t="s">
        <v>219</v>
      </c>
      <c r="B1399" s="93" t="s">
        <v>164</v>
      </c>
      <c r="C1399" s="93" t="s">
        <v>2</v>
      </c>
      <c r="D1399" s="93" t="s">
        <v>202</v>
      </c>
      <c r="E1399" s="93" t="s">
        <v>203</v>
      </c>
    </row>
    <row r="1400" spans="1:5">
      <c r="A1400" s="94" t="s">
        <v>217</v>
      </c>
      <c r="B1400" s="95" t="s">
        <v>190</v>
      </c>
      <c r="C1400" s="96">
        <v>0.01</v>
      </c>
      <c r="D1400" s="97">
        <v>75000</v>
      </c>
      <c r="E1400" s="98">
        <f>ROUND(C1400*D1400,0)</f>
        <v>750</v>
      </c>
    </row>
    <row r="1401" spans="1:5">
      <c r="A1401" s="99"/>
      <c r="B1401" s="101">
        <f>+E1401/D1402</f>
        <v>1.4999999999999999E-2</v>
      </c>
      <c r="C1401" s="98"/>
      <c r="D1401" s="99" t="s">
        <v>209</v>
      </c>
      <c r="E1401" s="100">
        <f>SUM(E1400:E1400)</f>
        <v>750</v>
      </c>
    </row>
    <row r="1402" spans="1:5">
      <c r="A1402" s="213" t="s">
        <v>215</v>
      </c>
      <c r="B1402" s="213"/>
      <c r="C1402" s="213"/>
      <c r="D1402" s="214">
        <f>+E1401+E1398+E1395+E1392</f>
        <v>50000</v>
      </c>
      <c r="E1402" s="214"/>
    </row>
    <row r="1404" spans="1:5" ht="20.25">
      <c r="A1404" s="200" t="s">
        <v>216</v>
      </c>
      <c r="B1404" s="201"/>
      <c r="C1404" s="201"/>
      <c r="D1404" s="201"/>
      <c r="E1404" s="202"/>
    </row>
    <row r="1405" spans="1:5">
      <c r="A1405" s="203"/>
      <c r="B1405" s="204"/>
      <c r="C1405" s="205"/>
      <c r="D1405" s="90" t="s">
        <v>199</v>
      </c>
      <c r="E1405" s="90" t="s">
        <v>164</v>
      </c>
    </row>
    <row r="1406" spans="1:5">
      <c r="A1406" s="207"/>
      <c r="B1406" s="208"/>
      <c r="C1406" s="206"/>
      <c r="D1406" s="91" t="s">
        <v>332</v>
      </c>
      <c r="E1406" s="91" t="s">
        <v>164</v>
      </c>
    </row>
    <row r="1407" spans="1:5" ht="15.75">
      <c r="A1407" s="209" t="s">
        <v>200</v>
      </c>
      <c r="B1407" s="209"/>
      <c r="C1407" s="209"/>
      <c r="D1407" s="209"/>
      <c r="E1407" s="209"/>
    </row>
    <row r="1408" spans="1:5" ht="39.75" customHeight="1">
      <c r="A1408" s="210" t="s">
        <v>312</v>
      </c>
      <c r="B1408" s="211"/>
      <c r="C1408" s="211"/>
      <c r="D1408" s="211"/>
      <c r="E1408" s="212"/>
    </row>
    <row r="1409" spans="1:5">
      <c r="A1409" s="92" t="s">
        <v>201</v>
      </c>
      <c r="B1409" s="93" t="s">
        <v>164</v>
      </c>
      <c r="C1409" s="93" t="s">
        <v>2</v>
      </c>
      <c r="D1409" s="93" t="s">
        <v>202</v>
      </c>
      <c r="E1409" s="93" t="s">
        <v>203</v>
      </c>
    </row>
    <row r="1410" spans="1:5">
      <c r="A1410" s="94" t="s">
        <v>456</v>
      </c>
      <c r="B1410" s="95" t="s">
        <v>207</v>
      </c>
      <c r="C1410" s="96">
        <v>0.01</v>
      </c>
      <c r="D1410" s="97">
        <v>248000</v>
      </c>
      <c r="E1410" s="98">
        <f>ROUND(C1410*D1410,0)</f>
        <v>2480</v>
      </c>
    </row>
    <row r="1411" spans="1:5">
      <c r="A1411" s="103" t="s">
        <v>455</v>
      </c>
      <c r="B1411" s="95" t="s">
        <v>207</v>
      </c>
      <c r="C1411" s="96">
        <v>0.01</v>
      </c>
      <c r="D1411" s="97">
        <v>360000</v>
      </c>
      <c r="E1411" s="98">
        <f t="shared" ref="E1411:E1413" si="55">ROUND(C1411*D1411,0)</f>
        <v>3600</v>
      </c>
    </row>
    <row r="1412" spans="1:5">
      <c r="A1412" s="94" t="s">
        <v>453</v>
      </c>
      <c r="B1412" s="95" t="s">
        <v>189</v>
      </c>
      <c r="C1412" s="96">
        <v>0.5</v>
      </c>
      <c r="D1412" s="97">
        <v>3000</v>
      </c>
      <c r="E1412" s="98">
        <f t="shared" si="55"/>
        <v>1500</v>
      </c>
    </row>
    <row r="1413" spans="1:5">
      <c r="A1413" s="94" t="s">
        <v>454</v>
      </c>
      <c r="B1413" s="95" t="s">
        <v>164</v>
      </c>
      <c r="C1413" s="96">
        <v>5</v>
      </c>
      <c r="D1413" s="97">
        <v>3800</v>
      </c>
      <c r="E1413" s="98">
        <f t="shared" si="55"/>
        <v>19000</v>
      </c>
    </row>
    <row r="1414" spans="1:5">
      <c r="A1414" s="99"/>
      <c r="B1414" s="101">
        <f>+E1414/D1424</f>
        <v>0.53159999999999996</v>
      </c>
      <c r="C1414" s="98"/>
      <c r="D1414" s="99" t="s">
        <v>209</v>
      </c>
      <c r="E1414" s="100">
        <f>SUM(E1410:E1413)</f>
        <v>26580</v>
      </c>
    </row>
    <row r="1415" spans="1:5">
      <c r="A1415" s="92" t="s">
        <v>210</v>
      </c>
      <c r="B1415" s="93" t="s">
        <v>164</v>
      </c>
      <c r="C1415" s="93" t="s">
        <v>2</v>
      </c>
      <c r="D1415" s="93" t="s">
        <v>202</v>
      </c>
      <c r="E1415" s="93" t="s">
        <v>203</v>
      </c>
    </row>
    <row r="1416" spans="1:5">
      <c r="A1416" s="94" t="s">
        <v>247</v>
      </c>
      <c r="B1416" s="95" t="s">
        <v>212</v>
      </c>
      <c r="C1416" s="96">
        <v>0.12431499999999999</v>
      </c>
      <c r="D1416" s="97">
        <v>171670</v>
      </c>
      <c r="E1416" s="98">
        <f>ROUND(C1416*D1416,0)</f>
        <v>21341</v>
      </c>
    </row>
    <row r="1417" spans="1:5">
      <c r="A1417" s="99"/>
      <c r="B1417" s="101">
        <f>+E1417/D1424</f>
        <v>0.42681999999999998</v>
      </c>
      <c r="C1417" s="98"/>
      <c r="D1417" s="99" t="s">
        <v>209</v>
      </c>
      <c r="E1417" s="100">
        <f>+E1416</f>
        <v>21341</v>
      </c>
    </row>
    <row r="1418" spans="1:5">
      <c r="A1418" s="92" t="s">
        <v>218</v>
      </c>
      <c r="B1418" s="93" t="s">
        <v>164</v>
      </c>
      <c r="C1418" s="93" t="s">
        <v>2</v>
      </c>
      <c r="D1418" s="93" t="s">
        <v>202</v>
      </c>
      <c r="E1418" s="93" t="s">
        <v>203</v>
      </c>
    </row>
    <row r="1419" spans="1:5">
      <c r="A1419" s="94" t="s">
        <v>213</v>
      </c>
      <c r="B1419" s="95" t="s">
        <v>214</v>
      </c>
      <c r="C1419" s="96">
        <v>0.05</v>
      </c>
      <c r="D1419" s="97">
        <f>+E1414</f>
        <v>26580</v>
      </c>
      <c r="E1419" s="98">
        <f>ROUND(C1419*D1419,0)</f>
        <v>1329</v>
      </c>
    </row>
    <row r="1420" spans="1:5">
      <c r="A1420" s="99"/>
      <c r="B1420" s="101">
        <f>+E1420/D1424</f>
        <v>2.6579999999999999E-2</v>
      </c>
      <c r="C1420" s="98"/>
      <c r="D1420" s="99" t="s">
        <v>209</v>
      </c>
      <c r="E1420" s="100">
        <f>SUM(E1419:E1419)</f>
        <v>1329</v>
      </c>
    </row>
    <row r="1421" spans="1:5">
      <c r="A1421" s="92" t="s">
        <v>219</v>
      </c>
      <c r="B1421" s="93" t="s">
        <v>164</v>
      </c>
      <c r="C1421" s="93" t="s">
        <v>2</v>
      </c>
      <c r="D1421" s="93" t="s">
        <v>202</v>
      </c>
      <c r="E1421" s="93" t="s">
        <v>203</v>
      </c>
    </row>
    <row r="1422" spans="1:5">
      <c r="A1422" s="94" t="s">
        <v>217</v>
      </c>
      <c r="B1422" s="95" t="s">
        <v>190</v>
      </c>
      <c r="C1422" s="96">
        <v>0.01</v>
      </c>
      <c r="D1422" s="97">
        <v>75000</v>
      </c>
      <c r="E1422" s="98">
        <f>ROUND(C1422*D1422,0)</f>
        <v>750</v>
      </c>
    </row>
    <row r="1423" spans="1:5">
      <c r="A1423" s="99"/>
      <c r="B1423" s="101">
        <f>+E1423/D1424</f>
        <v>1.4999999999999999E-2</v>
      </c>
      <c r="C1423" s="98"/>
      <c r="D1423" s="99" t="s">
        <v>209</v>
      </c>
      <c r="E1423" s="100">
        <f>SUM(E1422:E1422)</f>
        <v>750</v>
      </c>
    </row>
    <row r="1424" spans="1:5">
      <c r="A1424" s="213" t="s">
        <v>215</v>
      </c>
      <c r="B1424" s="213"/>
      <c r="C1424" s="213"/>
      <c r="D1424" s="214">
        <f>+E1423+E1420+E1417+E1414</f>
        <v>50000</v>
      </c>
      <c r="E1424" s="214"/>
    </row>
    <row r="1426" spans="1:5" ht="20.25">
      <c r="A1426" s="200" t="s">
        <v>216</v>
      </c>
      <c r="B1426" s="201"/>
      <c r="C1426" s="201"/>
      <c r="D1426" s="201"/>
      <c r="E1426" s="202"/>
    </row>
    <row r="1427" spans="1:5">
      <c r="A1427" s="203"/>
      <c r="B1427" s="204"/>
      <c r="C1427" s="205"/>
      <c r="D1427" s="90" t="s">
        <v>199</v>
      </c>
      <c r="E1427" s="90" t="s">
        <v>164</v>
      </c>
    </row>
    <row r="1428" spans="1:5">
      <c r="A1428" s="207" t="s">
        <v>457</v>
      </c>
      <c r="B1428" s="208"/>
      <c r="C1428" s="206"/>
      <c r="D1428" s="91" t="s">
        <v>335</v>
      </c>
      <c r="E1428" s="91" t="s">
        <v>164</v>
      </c>
    </row>
    <row r="1429" spans="1:5" ht="15.75">
      <c r="A1429" s="209" t="s">
        <v>200</v>
      </c>
      <c r="B1429" s="209"/>
      <c r="C1429" s="209"/>
      <c r="D1429" s="209"/>
      <c r="E1429" s="209"/>
    </row>
    <row r="1430" spans="1:5" ht="42" customHeight="1">
      <c r="A1430" s="210" t="s">
        <v>466</v>
      </c>
      <c r="B1430" s="211"/>
      <c r="C1430" s="211"/>
      <c r="D1430" s="211"/>
      <c r="E1430" s="212"/>
    </row>
    <row r="1431" spans="1:5">
      <c r="A1431" s="92" t="s">
        <v>201</v>
      </c>
      <c r="B1431" s="93" t="s">
        <v>164</v>
      </c>
      <c r="C1431" s="93" t="s">
        <v>2</v>
      </c>
      <c r="D1431" s="93" t="s">
        <v>202</v>
      </c>
      <c r="E1431" s="93" t="s">
        <v>203</v>
      </c>
    </row>
    <row r="1432" spans="1:5">
      <c r="A1432" s="94" t="s">
        <v>463</v>
      </c>
      <c r="B1432" s="95" t="s">
        <v>185</v>
      </c>
      <c r="C1432" s="96">
        <v>1</v>
      </c>
      <c r="D1432" s="97">
        <v>560000</v>
      </c>
      <c r="E1432" s="98">
        <f>ROUND(C1432*D1432,0)</f>
        <v>560000</v>
      </c>
    </row>
    <row r="1433" spans="1:5" ht="25.5">
      <c r="A1433" s="173" t="s">
        <v>458</v>
      </c>
      <c r="B1433" s="95" t="s">
        <v>185</v>
      </c>
      <c r="C1433" s="96">
        <v>1</v>
      </c>
      <c r="D1433" s="97">
        <v>44928</v>
      </c>
      <c r="E1433" s="98">
        <f t="shared" ref="E1433:E1440" si="56">ROUND(C1433*D1433,0)</f>
        <v>44928</v>
      </c>
    </row>
    <row r="1434" spans="1:5">
      <c r="A1434" s="94" t="s">
        <v>459</v>
      </c>
      <c r="B1434" s="95" t="s">
        <v>185</v>
      </c>
      <c r="C1434" s="96">
        <v>0.02</v>
      </c>
      <c r="D1434" s="97">
        <v>112659</v>
      </c>
      <c r="E1434" s="98">
        <f t="shared" si="56"/>
        <v>2253</v>
      </c>
    </row>
    <row r="1435" spans="1:5">
      <c r="A1435" s="94" t="s">
        <v>460</v>
      </c>
      <c r="B1435" s="95" t="s">
        <v>185</v>
      </c>
      <c r="C1435" s="96">
        <v>0.02</v>
      </c>
      <c r="D1435" s="97">
        <v>54322</v>
      </c>
      <c r="E1435" s="98">
        <f t="shared" si="56"/>
        <v>1086</v>
      </c>
    </row>
    <row r="1436" spans="1:5">
      <c r="A1436" s="94" t="s">
        <v>461</v>
      </c>
      <c r="B1436" s="95" t="s">
        <v>185</v>
      </c>
      <c r="C1436" s="96">
        <v>2</v>
      </c>
      <c r="D1436" s="97">
        <v>1000</v>
      </c>
      <c r="E1436" s="98">
        <f t="shared" si="56"/>
        <v>2000</v>
      </c>
    </row>
    <row r="1437" spans="1:5" ht="25.5">
      <c r="A1437" s="173" t="s">
        <v>462</v>
      </c>
      <c r="B1437" s="95" t="s">
        <v>185</v>
      </c>
      <c r="C1437" s="96">
        <v>0.1</v>
      </c>
      <c r="D1437" s="97">
        <v>16705</v>
      </c>
      <c r="E1437" s="98">
        <f t="shared" si="56"/>
        <v>1671</v>
      </c>
    </row>
    <row r="1438" spans="1:5">
      <c r="A1438" s="94" t="s">
        <v>264</v>
      </c>
      <c r="B1438" s="95" t="s">
        <v>190</v>
      </c>
      <c r="C1438" s="96">
        <v>0.1</v>
      </c>
      <c r="D1438" s="97">
        <v>15800</v>
      </c>
      <c r="E1438" s="98">
        <f t="shared" si="56"/>
        <v>1580</v>
      </c>
    </row>
    <row r="1439" spans="1:5">
      <c r="A1439" s="94" t="s">
        <v>464</v>
      </c>
      <c r="B1439" s="95" t="s">
        <v>185</v>
      </c>
      <c r="C1439" s="96">
        <v>1</v>
      </c>
      <c r="D1439" s="97">
        <v>45750</v>
      </c>
      <c r="E1439" s="98">
        <f t="shared" si="56"/>
        <v>45750</v>
      </c>
    </row>
    <row r="1440" spans="1:5">
      <c r="A1440" s="94" t="s">
        <v>465</v>
      </c>
      <c r="B1440" s="95" t="s">
        <v>185</v>
      </c>
      <c r="C1440" s="96">
        <v>1</v>
      </c>
      <c r="D1440" s="97">
        <v>25000</v>
      </c>
      <c r="E1440" s="98">
        <f t="shared" si="56"/>
        <v>25000</v>
      </c>
    </row>
    <row r="1441" spans="1:5">
      <c r="A1441" s="99"/>
      <c r="B1441" s="101">
        <f>+E1441/D1451</f>
        <v>0.85533499999999996</v>
      </c>
      <c r="C1441" s="98"/>
      <c r="D1441" s="99" t="s">
        <v>209</v>
      </c>
      <c r="E1441" s="100">
        <f>SUM(E1432:E1440)</f>
        <v>684268</v>
      </c>
    </row>
    <row r="1442" spans="1:5">
      <c r="A1442" s="92" t="s">
        <v>210</v>
      </c>
      <c r="B1442" s="93" t="s">
        <v>164</v>
      </c>
      <c r="C1442" s="93" t="s">
        <v>2</v>
      </c>
      <c r="D1442" s="93" t="s">
        <v>202</v>
      </c>
      <c r="E1442" s="93" t="s">
        <v>203</v>
      </c>
    </row>
    <row r="1443" spans="1:5">
      <c r="A1443" s="94" t="s">
        <v>247</v>
      </c>
      <c r="B1443" s="95" t="s">
        <v>212</v>
      </c>
      <c r="C1443" s="96">
        <v>0.46830500000000003</v>
      </c>
      <c r="D1443" s="97">
        <v>171670</v>
      </c>
      <c r="E1443" s="98">
        <f>ROUND(C1443*D1443,0)</f>
        <v>80394</v>
      </c>
    </row>
    <row r="1444" spans="1:5">
      <c r="A1444" s="99"/>
      <c r="B1444" s="101">
        <f>+E1444/D1451</f>
        <v>0.1004925</v>
      </c>
      <c r="C1444" s="98"/>
      <c r="D1444" s="99" t="s">
        <v>209</v>
      </c>
      <c r="E1444" s="100">
        <f>+E1443</f>
        <v>80394</v>
      </c>
    </row>
    <row r="1445" spans="1:5">
      <c r="A1445" s="92" t="s">
        <v>218</v>
      </c>
      <c r="B1445" s="93" t="s">
        <v>164</v>
      </c>
      <c r="C1445" s="93" t="s">
        <v>2</v>
      </c>
      <c r="D1445" s="93" t="s">
        <v>202</v>
      </c>
      <c r="E1445" s="93" t="s">
        <v>203</v>
      </c>
    </row>
    <row r="1446" spans="1:5">
      <c r="A1446" s="94" t="s">
        <v>213</v>
      </c>
      <c r="B1446" s="95" t="s">
        <v>214</v>
      </c>
      <c r="C1446" s="96">
        <v>0.05</v>
      </c>
      <c r="D1446" s="97">
        <f>+E1441</f>
        <v>684268</v>
      </c>
      <c r="E1446" s="98">
        <f>ROUND(C1446*D1446,0)</f>
        <v>34213</v>
      </c>
    </row>
    <row r="1447" spans="1:5">
      <c r="A1447" s="99"/>
      <c r="B1447" s="101">
        <f>+E1447/D1451</f>
        <v>4.2766249999999999E-2</v>
      </c>
      <c r="C1447" s="98"/>
      <c r="D1447" s="99" t="s">
        <v>209</v>
      </c>
      <c r="E1447" s="100">
        <f>SUM(E1446:E1446)</f>
        <v>34213</v>
      </c>
    </row>
    <row r="1448" spans="1:5">
      <c r="A1448" s="92" t="s">
        <v>219</v>
      </c>
      <c r="B1448" s="93" t="s">
        <v>164</v>
      </c>
      <c r="C1448" s="93" t="s">
        <v>2</v>
      </c>
      <c r="D1448" s="93" t="s">
        <v>202</v>
      </c>
      <c r="E1448" s="93" t="s">
        <v>203</v>
      </c>
    </row>
    <row r="1449" spans="1:5">
      <c r="A1449" s="94" t="s">
        <v>217</v>
      </c>
      <c r="B1449" s="95" t="s">
        <v>190</v>
      </c>
      <c r="C1449" s="96">
        <v>1.4999999999999999E-2</v>
      </c>
      <c r="D1449" s="97">
        <v>75000</v>
      </c>
      <c r="E1449" s="98">
        <f>ROUND(C1449*D1449,0)</f>
        <v>1125</v>
      </c>
    </row>
    <row r="1450" spans="1:5">
      <c r="A1450" s="99"/>
      <c r="B1450" s="101">
        <f>+E1450/D1451</f>
        <v>1.4062499999999999E-3</v>
      </c>
      <c r="C1450" s="98"/>
      <c r="D1450" s="99" t="s">
        <v>209</v>
      </c>
      <c r="E1450" s="100">
        <f>SUM(E1449:E1449)</f>
        <v>1125</v>
      </c>
    </row>
    <row r="1451" spans="1:5">
      <c r="A1451" s="213" t="s">
        <v>215</v>
      </c>
      <c r="B1451" s="213"/>
      <c r="C1451" s="213"/>
      <c r="D1451" s="214">
        <f>+E1450+E1447+E1444+E1441</f>
        <v>800000</v>
      </c>
      <c r="E1451" s="214"/>
    </row>
    <row r="1453" spans="1:5" ht="20.25">
      <c r="A1453" s="200" t="s">
        <v>216</v>
      </c>
      <c r="B1453" s="201"/>
      <c r="C1453" s="201"/>
      <c r="D1453" s="201"/>
      <c r="E1453" s="202"/>
    </row>
    <row r="1454" spans="1:5">
      <c r="A1454" s="203"/>
      <c r="B1454" s="204"/>
      <c r="C1454" s="205"/>
      <c r="D1454" s="90" t="s">
        <v>199</v>
      </c>
      <c r="E1454" s="90" t="s">
        <v>164</v>
      </c>
    </row>
    <row r="1455" spans="1:5">
      <c r="A1455" s="207" t="s">
        <v>457</v>
      </c>
      <c r="B1455" s="208"/>
      <c r="C1455" s="206"/>
      <c r="D1455" s="91" t="s">
        <v>336</v>
      </c>
      <c r="E1455" s="91" t="s">
        <v>164</v>
      </c>
    </row>
    <row r="1456" spans="1:5" ht="15.75">
      <c r="A1456" s="209" t="s">
        <v>200</v>
      </c>
      <c r="B1456" s="209"/>
      <c r="C1456" s="209"/>
      <c r="D1456" s="209"/>
      <c r="E1456" s="209"/>
    </row>
    <row r="1457" spans="1:5" ht="60" customHeight="1">
      <c r="A1457" s="210" t="s">
        <v>471</v>
      </c>
      <c r="B1457" s="211"/>
      <c r="C1457" s="211"/>
      <c r="D1457" s="211"/>
      <c r="E1457" s="212"/>
    </row>
    <row r="1458" spans="1:5">
      <c r="A1458" s="92" t="s">
        <v>201</v>
      </c>
      <c r="B1458" s="93" t="s">
        <v>164</v>
      </c>
      <c r="C1458" s="93" t="s">
        <v>2</v>
      </c>
      <c r="D1458" s="93" t="s">
        <v>202</v>
      </c>
      <c r="E1458" s="93" t="s">
        <v>203</v>
      </c>
    </row>
    <row r="1459" spans="1:5">
      <c r="A1459" s="94" t="s">
        <v>469</v>
      </c>
      <c r="B1459" s="95" t="s">
        <v>185</v>
      </c>
      <c r="C1459" s="96">
        <v>1</v>
      </c>
      <c r="D1459" s="97">
        <v>435000</v>
      </c>
      <c r="E1459" s="98">
        <f>ROUND(C1459*D1459,0)</f>
        <v>435000</v>
      </c>
    </row>
    <row r="1460" spans="1:5">
      <c r="A1460" s="94" t="s">
        <v>467</v>
      </c>
      <c r="B1460" s="95" t="s">
        <v>185</v>
      </c>
      <c r="C1460" s="96">
        <v>1</v>
      </c>
      <c r="D1460" s="97">
        <v>7092</v>
      </c>
      <c r="E1460" s="98">
        <f t="shared" ref="E1460:E1465" si="57">ROUND(C1460*D1460,0)</f>
        <v>7092</v>
      </c>
    </row>
    <row r="1461" spans="1:5">
      <c r="A1461" s="94" t="s">
        <v>468</v>
      </c>
      <c r="B1461" s="95" t="s">
        <v>185</v>
      </c>
      <c r="C1461" s="96">
        <v>1</v>
      </c>
      <c r="D1461" s="97">
        <v>64653</v>
      </c>
      <c r="E1461" s="98">
        <f t="shared" si="57"/>
        <v>64653</v>
      </c>
    </row>
    <row r="1462" spans="1:5" ht="25.5">
      <c r="A1462" s="173" t="s">
        <v>462</v>
      </c>
      <c r="B1462" s="95" t="s">
        <v>185</v>
      </c>
      <c r="C1462" s="96">
        <v>0.1</v>
      </c>
      <c r="D1462" s="97">
        <v>16705</v>
      </c>
      <c r="E1462" s="98">
        <f t="shared" si="57"/>
        <v>1671</v>
      </c>
    </row>
    <row r="1463" spans="1:5">
      <c r="A1463" s="94" t="s">
        <v>464</v>
      </c>
      <c r="B1463" s="95" t="s">
        <v>185</v>
      </c>
      <c r="C1463" s="96">
        <v>1</v>
      </c>
      <c r="D1463" s="97">
        <v>45750</v>
      </c>
      <c r="E1463" s="98">
        <f t="shared" si="57"/>
        <v>45750</v>
      </c>
    </row>
    <row r="1464" spans="1:5">
      <c r="A1464" s="94" t="s">
        <v>465</v>
      </c>
      <c r="B1464" s="95" t="s">
        <v>185</v>
      </c>
      <c r="C1464" s="96">
        <v>1</v>
      </c>
      <c r="D1464" s="97">
        <v>25000</v>
      </c>
      <c r="E1464" s="98">
        <f t="shared" si="57"/>
        <v>25000</v>
      </c>
    </row>
    <row r="1465" spans="1:5">
      <c r="A1465" s="94" t="s">
        <v>470</v>
      </c>
      <c r="B1465" s="95" t="s">
        <v>185</v>
      </c>
      <c r="C1465" s="96">
        <v>1</v>
      </c>
      <c r="D1465" s="97">
        <v>200000</v>
      </c>
      <c r="E1465" s="98">
        <f t="shared" si="57"/>
        <v>200000</v>
      </c>
    </row>
    <row r="1466" spans="1:5">
      <c r="A1466" s="99"/>
      <c r="B1466" s="101">
        <f>+E1466/D1476</f>
        <v>0.86573999999999995</v>
      </c>
      <c r="C1466" s="98"/>
      <c r="D1466" s="99" t="s">
        <v>209</v>
      </c>
      <c r="E1466" s="100">
        <f>SUM(E1459:E1465)</f>
        <v>779166</v>
      </c>
    </row>
    <row r="1467" spans="1:5">
      <c r="A1467" s="92" t="s">
        <v>210</v>
      </c>
      <c r="B1467" s="93" t="s">
        <v>164</v>
      </c>
      <c r="C1467" s="93" t="s">
        <v>2</v>
      </c>
      <c r="D1467" s="93" t="s">
        <v>202</v>
      </c>
      <c r="E1467" s="93" t="s">
        <v>203</v>
      </c>
    </row>
    <row r="1468" spans="1:5">
      <c r="A1468" s="94" t="s">
        <v>247</v>
      </c>
      <c r="B1468" s="95" t="s">
        <v>212</v>
      </c>
      <c r="C1468" s="96">
        <v>0.470383</v>
      </c>
      <c r="D1468" s="97">
        <v>171670</v>
      </c>
      <c r="E1468" s="98">
        <f>ROUND(C1468*D1468,0)</f>
        <v>80751</v>
      </c>
    </row>
    <row r="1469" spans="1:5">
      <c r="A1469" s="99"/>
      <c r="B1469" s="101">
        <f>+E1469/D1476</f>
        <v>8.9723333333333335E-2</v>
      </c>
      <c r="C1469" s="98"/>
      <c r="D1469" s="99" t="s">
        <v>209</v>
      </c>
      <c r="E1469" s="100">
        <f>+E1468</f>
        <v>80751</v>
      </c>
    </row>
    <row r="1470" spans="1:5">
      <c r="A1470" s="92" t="s">
        <v>218</v>
      </c>
      <c r="B1470" s="93" t="s">
        <v>164</v>
      </c>
      <c r="C1470" s="93" t="s">
        <v>2</v>
      </c>
      <c r="D1470" s="93" t="s">
        <v>202</v>
      </c>
      <c r="E1470" s="93" t="s">
        <v>203</v>
      </c>
    </row>
    <row r="1471" spans="1:5">
      <c r="A1471" s="94" t="s">
        <v>213</v>
      </c>
      <c r="B1471" s="95" t="s">
        <v>214</v>
      </c>
      <c r="C1471" s="96">
        <v>0.05</v>
      </c>
      <c r="D1471" s="97">
        <f>+E1466</f>
        <v>779166</v>
      </c>
      <c r="E1471" s="98">
        <f>ROUND(C1471*D1471,0)</f>
        <v>38958</v>
      </c>
    </row>
    <row r="1472" spans="1:5">
      <c r="A1472" s="99"/>
      <c r="B1472" s="101">
        <f>+E1472/D1476</f>
        <v>4.3286666666666668E-2</v>
      </c>
      <c r="C1472" s="98"/>
      <c r="D1472" s="99" t="s">
        <v>209</v>
      </c>
      <c r="E1472" s="100">
        <f>SUM(E1471:E1471)</f>
        <v>38958</v>
      </c>
    </row>
    <row r="1473" spans="1:5">
      <c r="A1473" s="92" t="s">
        <v>219</v>
      </c>
      <c r="B1473" s="93" t="s">
        <v>164</v>
      </c>
      <c r="C1473" s="93" t="s">
        <v>2</v>
      </c>
      <c r="D1473" s="93" t="s">
        <v>202</v>
      </c>
      <c r="E1473" s="93" t="s">
        <v>203</v>
      </c>
    </row>
    <row r="1474" spans="1:5">
      <c r="A1474" s="94" t="s">
        <v>217</v>
      </c>
      <c r="B1474" s="95" t="s">
        <v>190</v>
      </c>
      <c r="C1474" s="96">
        <v>1.4999999999999999E-2</v>
      </c>
      <c r="D1474" s="97">
        <v>75000</v>
      </c>
      <c r="E1474" s="98">
        <f>ROUND(C1474*D1474,0)</f>
        <v>1125</v>
      </c>
    </row>
    <row r="1475" spans="1:5">
      <c r="A1475" s="99"/>
      <c r="B1475" s="101">
        <f>+E1475/D1476</f>
        <v>1.25E-3</v>
      </c>
      <c r="C1475" s="98"/>
      <c r="D1475" s="99" t="s">
        <v>209</v>
      </c>
      <c r="E1475" s="100">
        <f>SUM(E1474:E1474)</f>
        <v>1125</v>
      </c>
    </row>
    <row r="1476" spans="1:5">
      <c r="A1476" s="213" t="s">
        <v>215</v>
      </c>
      <c r="B1476" s="213"/>
      <c r="C1476" s="213"/>
      <c r="D1476" s="214">
        <f>+E1475+E1472+E1469+E1466</f>
        <v>900000</v>
      </c>
      <c r="E1476" s="214"/>
    </row>
    <row r="1478" spans="1:5" ht="20.25">
      <c r="A1478" s="200" t="s">
        <v>216</v>
      </c>
      <c r="B1478" s="201"/>
      <c r="C1478" s="201"/>
      <c r="D1478" s="201"/>
      <c r="E1478" s="202"/>
    </row>
    <row r="1479" spans="1:5">
      <c r="A1479" s="203"/>
      <c r="B1479" s="204"/>
      <c r="C1479" s="205"/>
      <c r="D1479" s="90" t="s">
        <v>199</v>
      </c>
      <c r="E1479" s="90" t="s">
        <v>164</v>
      </c>
    </row>
    <row r="1480" spans="1:5">
      <c r="A1480" s="207" t="s">
        <v>457</v>
      </c>
      <c r="B1480" s="208"/>
      <c r="C1480" s="206"/>
      <c r="D1480" s="91" t="s">
        <v>337</v>
      </c>
      <c r="E1480" s="91" t="s">
        <v>164</v>
      </c>
    </row>
    <row r="1481" spans="1:5" ht="15.75">
      <c r="A1481" s="209" t="s">
        <v>200</v>
      </c>
      <c r="B1481" s="209"/>
      <c r="C1481" s="209"/>
      <c r="D1481" s="209"/>
      <c r="E1481" s="209"/>
    </row>
    <row r="1482" spans="1:5" ht="39.75" customHeight="1">
      <c r="A1482" s="210" t="s">
        <v>345</v>
      </c>
      <c r="B1482" s="211"/>
      <c r="C1482" s="211"/>
      <c r="D1482" s="211"/>
      <c r="E1482" s="212"/>
    </row>
    <row r="1483" spans="1:5">
      <c r="A1483" s="92" t="s">
        <v>201</v>
      </c>
      <c r="B1483" s="93" t="s">
        <v>164</v>
      </c>
      <c r="C1483" s="93" t="s">
        <v>2</v>
      </c>
      <c r="D1483" s="93" t="s">
        <v>202</v>
      </c>
      <c r="E1483" s="93" t="s">
        <v>203</v>
      </c>
    </row>
    <row r="1484" spans="1:5" ht="25.5">
      <c r="A1484" s="173" t="s">
        <v>472</v>
      </c>
      <c r="B1484" s="95" t="s">
        <v>185</v>
      </c>
      <c r="C1484" s="96">
        <v>1</v>
      </c>
      <c r="D1484" s="97">
        <v>1395000</v>
      </c>
      <c r="E1484" s="98">
        <f>ROUND(C1484*D1484,0)</f>
        <v>1395000</v>
      </c>
    </row>
    <row r="1485" spans="1:5">
      <c r="A1485" s="99"/>
      <c r="B1485" s="101">
        <f>+E1485/D1495</f>
        <v>0.93</v>
      </c>
      <c r="C1485" s="98"/>
      <c r="D1485" s="99" t="s">
        <v>209</v>
      </c>
      <c r="E1485" s="100">
        <f>SUM(E1484:E1484)</f>
        <v>1395000</v>
      </c>
    </row>
    <row r="1486" spans="1:5">
      <c r="A1486" s="92" t="s">
        <v>210</v>
      </c>
      <c r="B1486" s="93" t="s">
        <v>164</v>
      </c>
      <c r="C1486" s="93" t="s">
        <v>2</v>
      </c>
      <c r="D1486" s="93" t="s">
        <v>202</v>
      </c>
      <c r="E1486" s="93" t="s">
        <v>203</v>
      </c>
    </row>
    <row r="1487" spans="1:5">
      <c r="A1487" s="94" t="s">
        <v>247</v>
      </c>
      <c r="B1487" s="95" t="s">
        <v>212</v>
      </c>
      <c r="C1487" s="96">
        <v>0.20096700000000001</v>
      </c>
      <c r="D1487" s="97">
        <v>171670</v>
      </c>
      <c r="E1487" s="98">
        <f>ROUND(C1487*D1487,0)</f>
        <v>34500</v>
      </c>
    </row>
    <row r="1488" spans="1:5">
      <c r="A1488" s="99"/>
      <c r="B1488" s="101">
        <f>+E1488/D1495</f>
        <v>2.3E-2</v>
      </c>
      <c r="C1488" s="98"/>
      <c r="D1488" s="99" t="s">
        <v>209</v>
      </c>
      <c r="E1488" s="100">
        <f>+E1487</f>
        <v>34500</v>
      </c>
    </row>
    <row r="1489" spans="1:5">
      <c r="A1489" s="92" t="s">
        <v>218</v>
      </c>
      <c r="B1489" s="93" t="s">
        <v>164</v>
      </c>
      <c r="C1489" s="93" t="s">
        <v>2</v>
      </c>
      <c r="D1489" s="93" t="s">
        <v>202</v>
      </c>
      <c r="E1489" s="93" t="s">
        <v>203</v>
      </c>
    </row>
    <row r="1490" spans="1:5">
      <c r="A1490" s="94" t="s">
        <v>213</v>
      </c>
      <c r="B1490" s="95" t="s">
        <v>214</v>
      </c>
      <c r="C1490" s="96">
        <v>0.05</v>
      </c>
      <c r="D1490" s="97">
        <f>+E1485</f>
        <v>1395000</v>
      </c>
      <c r="E1490" s="98">
        <f>ROUND(C1490*D1490,0)</f>
        <v>69750</v>
      </c>
    </row>
    <row r="1491" spans="1:5">
      <c r="A1491" s="99"/>
      <c r="B1491" s="101">
        <f>+E1491/D1495</f>
        <v>4.65E-2</v>
      </c>
      <c r="C1491" s="98"/>
      <c r="D1491" s="99" t="s">
        <v>209</v>
      </c>
      <c r="E1491" s="100">
        <f>SUM(E1490:E1490)</f>
        <v>69750</v>
      </c>
    </row>
    <row r="1492" spans="1:5">
      <c r="A1492" s="92" t="s">
        <v>219</v>
      </c>
      <c r="B1492" s="93" t="s">
        <v>164</v>
      </c>
      <c r="C1492" s="93" t="s">
        <v>2</v>
      </c>
      <c r="D1492" s="93" t="s">
        <v>202</v>
      </c>
      <c r="E1492" s="93" t="s">
        <v>203</v>
      </c>
    </row>
    <row r="1493" spans="1:5">
      <c r="A1493" s="94" t="s">
        <v>217</v>
      </c>
      <c r="B1493" s="95" t="s">
        <v>190</v>
      </c>
      <c r="C1493" s="96">
        <v>0.01</v>
      </c>
      <c r="D1493" s="97">
        <v>75000</v>
      </c>
      <c r="E1493" s="98">
        <f>ROUND(C1493*D1493,0)</f>
        <v>750</v>
      </c>
    </row>
    <row r="1494" spans="1:5">
      <c r="A1494" s="99"/>
      <c r="B1494" s="101">
        <f>+E1494/D1495</f>
        <v>5.0000000000000001E-4</v>
      </c>
      <c r="C1494" s="98"/>
      <c r="D1494" s="99" t="s">
        <v>209</v>
      </c>
      <c r="E1494" s="100">
        <f>SUM(E1493:E1493)</f>
        <v>750</v>
      </c>
    </row>
    <row r="1495" spans="1:5">
      <c r="A1495" s="213" t="s">
        <v>215</v>
      </c>
      <c r="B1495" s="213"/>
      <c r="C1495" s="213"/>
      <c r="D1495" s="214">
        <f>+E1494+E1491+E1488+E1485</f>
        <v>1500000</v>
      </c>
      <c r="E1495" s="214"/>
    </row>
    <row r="1497" spans="1:5" ht="20.25">
      <c r="A1497" s="200" t="s">
        <v>216</v>
      </c>
      <c r="B1497" s="201"/>
      <c r="C1497" s="201"/>
      <c r="D1497" s="201"/>
      <c r="E1497" s="202"/>
    </row>
    <row r="1498" spans="1:5">
      <c r="A1498" s="203"/>
      <c r="B1498" s="204"/>
      <c r="C1498" s="205"/>
      <c r="D1498" s="90" t="s">
        <v>199</v>
      </c>
      <c r="E1498" s="90" t="s">
        <v>164</v>
      </c>
    </row>
    <row r="1499" spans="1:5">
      <c r="A1499" s="207" t="s">
        <v>457</v>
      </c>
      <c r="B1499" s="208"/>
      <c r="C1499" s="206"/>
      <c r="D1499" s="91" t="s">
        <v>338</v>
      </c>
      <c r="E1499" s="91" t="s">
        <v>164</v>
      </c>
    </row>
    <row r="1500" spans="1:5" ht="15.75">
      <c r="A1500" s="209" t="s">
        <v>200</v>
      </c>
      <c r="B1500" s="209"/>
      <c r="C1500" s="209"/>
      <c r="D1500" s="209"/>
      <c r="E1500" s="209"/>
    </row>
    <row r="1501" spans="1:5" ht="43.15" customHeight="1">
      <c r="A1501" s="210" t="s">
        <v>473</v>
      </c>
      <c r="B1501" s="211"/>
      <c r="C1501" s="211"/>
      <c r="D1501" s="211"/>
      <c r="E1501" s="212"/>
    </row>
    <row r="1502" spans="1:5">
      <c r="A1502" s="92" t="s">
        <v>201</v>
      </c>
      <c r="B1502" s="93" t="s">
        <v>164</v>
      </c>
      <c r="C1502" s="93" t="s">
        <v>2</v>
      </c>
      <c r="D1502" s="93" t="s">
        <v>202</v>
      </c>
      <c r="E1502" s="93" t="s">
        <v>203</v>
      </c>
    </row>
    <row r="1503" spans="1:5">
      <c r="A1503" s="94" t="s">
        <v>474</v>
      </c>
      <c r="B1503" s="95" t="s">
        <v>185</v>
      </c>
      <c r="C1503" s="96">
        <v>1</v>
      </c>
      <c r="D1503" s="97">
        <v>140000</v>
      </c>
      <c r="E1503" s="98">
        <f>ROUND(C1503*D1503,0)</f>
        <v>140000</v>
      </c>
    </row>
    <row r="1504" spans="1:5">
      <c r="A1504" s="94" t="s">
        <v>467</v>
      </c>
      <c r="B1504" s="95" t="s">
        <v>185</v>
      </c>
      <c r="C1504" s="96">
        <v>1</v>
      </c>
      <c r="D1504" s="97">
        <v>7092</v>
      </c>
      <c r="E1504" s="98">
        <f t="shared" ref="E1504:E1508" si="58">ROUND(C1504*D1504,0)</f>
        <v>7092</v>
      </c>
    </row>
    <row r="1505" spans="1:5">
      <c r="A1505" s="94" t="s">
        <v>468</v>
      </c>
      <c r="B1505" s="95" t="s">
        <v>185</v>
      </c>
      <c r="C1505" s="96">
        <v>1</v>
      </c>
      <c r="D1505" s="97">
        <v>64653</v>
      </c>
      <c r="E1505" s="98">
        <f t="shared" si="58"/>
        <v>64653</v>
      </c>
    </row>
    <row r="1506" spans="1:5" ht="25.5">
      <c r="A1506" s="173" t="s">
        <v>462</v>
      </c>
      <c r="B1506" s="95" t="s">
        <v>185</v>
      </c>
      <c r="C1506" s="96">
        <v>0.1</v>
      </c>
      <c r="D1506" s="97">
        <v>16705</v>
      </c>
      <c r="E1506" s="98">
        <f t="shared" si="58"/>
        <v>1671</v>
      </c>
    </row>
    <row r="1507" spans="1:5">
      <c r="A1507" s="94" t="s">
        <v>464</v>
      </c>
      <c r="B1507" s="95" t="s">
        <v>185</v>
      </c>
      <c r="C1507" s="96">
        <v>1</v>
      </c>
      <c r="D1507" s="97">
        <v>45750</v>
      </c>
      <c r="E1507" s="98">
        <f t="shared" si="58"/>
        <v>45750</v>
      </c>
    </row>
    <row r="1508" spans="1:5">
      <c r="A1508" s="94" t="s">
        <v>465</v>
      </c>
      <c r="B1508" s="95" t="s">
        <v>185</v>
      </c>
      <c r="C1508" s="96">
        <v>1</v>
      </c>
      <c r="D1508" s="97">
        <v>25000</v>
      </c>
      <c r="E1508" s="98">
        <f t="shared" si="58"/>
        <v>25000</v>
      </c>
    </row>
    <row r="1509" spans="1:5">
      <c r="A1509" s="99"/>
      <c r="B1509" s="101">
        <f>+E1509/D1519</f>
        <v>0.81190285714285715</v>
      </c>
      <c r="C1509" s="98"/>
      <c r="D1509" s="99" t="s">
        <v>209</v>
      </c>
      <c r="E1509" s="100">
        <f>SUM(E1503:E1508)</f>
        <v>284166</v>
      </c>
    </row>
    <row r="1510" spans="1:5">
      <c r="A1510" s="92" t="s">
        <v>210</v>
      </c>
      <c r="B1510" s="93" t="s">
        <v>164</v>
      </c>
      <c r="C1510" s="93" t="s">
        <v>2</v>
      </c>
      <c r="D1510" s="93" t="s">
        <v>202</v>
      </c>
      <c r="E1510" s="93" t="s">
        <v>203</v>
      </c>
    </row>
    <row r="1511" spans="1:5">
      <c r="A1511" s="94" t="s">
        <v>247</v>
      </c>
      <c r="B1511" s="95" t="s">
        <v>212</v>
      </c>
      <c r="C1511" s="96">
        <v>0.29417300000000002</v>
      </c>
      <c r="D1511" s="97">
        <v>171670</v>
      </c>
      <c r="E1511" s="98">
        <f>ROUND(C1511*D1511,0)</f>
        <v>50501</v>
      </c>
    </row>
    <row r="1512" spans="1:5">
      <c r="A1512" s="99"/>
      <c r="B1512" s="101">
        <f>+E1512/D1519</f>
        <v>0.14428857142857143</v>
      </c>
      <c r="C1512" s="98"/>
      <c r="D1512" s="99" t="s">
        <v>209</v>
      </c>
      <c r="E1512" s="100">
        <f>+E1511</f>
        <v>50501</v>
      </c>
    </row>
    <row r="1513" spans="1:5">
      <c r="A1513" s="92" t="s">
        <v>218</v>
      </c>
      <c r="B1513" s="93" t="s">
        <v>164</v>
      </c>
      <c r="C1513" s="93" t="s">
        <v>2</v>
      </c>
      <c r="D1513" s="93" t="s">
        <v>202</v>
      </c>
      <c r="E1513" s="93" t="s">
        <v>203</v>
      </c>
    </row>
    <row r="1514" spans="1:5">
      <c r="A1514" s="94" t="s">
        <v>213</v>
      </c>
      <c r="B1514" s="95" t="s">
        <v>214</v>
      </c>
      <c r="C1514" s="96">
        <v>0.05</v>
      </c>
      <c r="D1514" s="97">
        <f>+E1509</f>
        <v>284166</v>
      </c>
      <c r="E1514" s="98">
        <f>ROUND(C1514*D1514,0)</f>
        <v>14208</v>
      </c>
    </row>
    <row r="1515" spans="1:5">
      <c r="A1515" s="99"/>
      <c r="B1515" s="101">
        <f>+E1515/D1519</f>
        <v>4.0594285714285715E-2</v>
      </c>
      <c r="C1515" s="98"/>
      <c r="D1515" s="99" t="s">
        <v>209</v>
      </c>
      <c r="E1515" s="100">
        <f>SUM(E1514:E1514)</f>
        <v>14208</v>
      </c>
    </row>
    <row r="1516" spans="1:5">
      <c r="A1516" s="92" t="s">
        <v>219</v>
      </c>
      <c r="B1516" s="93" t="s">
        <v>164</v>
      </c>
      <c r="C1516" s="93" t="s">
        <v>2</v>
      </c>
      <c r="D1516" s="93" t="s">
        <v>202</v>
      </c>
      <c r="E1516" s="93" t="s">
        <v>203</v>
      </c>
    </row>
    <row r="1517" spans="1:5">
      <c r="A1517" s="94" t="s">
        <v>217</v>
      </c>
      <c r="B1517" s="95" t="s">
        <v>190</v>
      </c>
      <c r="C1517" s="96">
        <v>1.4999999999999999E-2</v>
      </c>
      <c r="D1517" s="97">
        <v>75000</v>
      </c>
      <c r="E1517" s="98">
        <f>ROUND(C1517*D1517,0)</f>
        <v>1125</v>
      </c>
    </row>
    <row r="1518" spans="1:5">
      <c r="A1518" s="99"/>
      <c r="B1518" s="101">
        <f>+E1518/D1519</f>
        <v>3.2142857142857142E-3</v>
      </c>
      <c r="C1518" s="98"/>
      <c r="D1518" s="99" t="s">
        <v>209</v>
      </c>
      <c r="E1518" s="100">
        <f>SUM(E1517:E1517)</f>
        <v>1125</v>
      </c>
    </row>
    <row r="1519" spans="1:5">
      <c r="A1519" s="213" t="s">
        <v>215</v>
      </c>
      <c r="B1519" s="213"/>
      <c r="C1519" s="213"/>
      <c r="D1519" s="214">
        <f>+E1518+E1515+E1512+E1509</f>
        <v>350000</v>
      </c>
      <c r="E1519" s="214"/>
    </row>
    <row r="1521" spans="1:5" ht="20.25">
      <c r="A1521" s="200" t="s">
        <v>216</v>
      </c>
      <c r="B1521" s="201"/>
      <c r="C1521" s="201"/>
      <c r="D1521" s="201"/>
      <c r="E1521" s="202"/>
    </row>
    <row r="1522" spans="1:5">
      <c r="A1522" s="203"/>
      <c r="B1522" s="204"/>
      <c r="C1522" s="205"/>
      <c r="D1522" s="90" t="s">
        <v>199</v>
      </c>
      <c r="E1522" s="90" t="s">
        <v>164</v>
      </c>
    </row>
    <row r="1523" spans="1:5">
      <c r="A1523" s="207" t="s">
        <v>457</v>
      </c>
      <c r="B1523" s="208"/>
      <c r="C1523" s="206"/>
      <c r="D1523" s="91" t="s">
        <v>339</v>
      </c>
      <c r="E1523" s="91" t="s">
        <v>164</v>
      </c>
    </row>
    <row r="1524" spans="1:5" ht="15.75">
      <c r="A1524" s="209" t="s">
        <v>200</v>
      </c>
      <c r="B1524" s="209"/>
      <c r="C1524" s="209"/>
      <c r="D1524" s="209"/>
      <c r="E1524" s="209"/>
    </row>
    <row r="1525" spans="1:5" ht="48.75" customHeight="1">
      <c r="A1525" s="210" t="s">
        <v>346</v>
      </c>
      <c r="B1525" s="211"/>
      <c r="C1525" s="211"/>
      <c r="D1525" s="211"/>
      <c r="E1525" s="212"/>
    </row>
    <row r="1526" spans="1:5">
      <c r="A1526" s="92" t="s">
        <v>201</v>
      </c>
      <c r="B1526" s="93" t="s">
        <v>164</v>
      </c>
      <c r="C1526" s="93" t="s">
        <v>2</v>
      </c>
      <c r="D1526" s="93" t="s">
        <v>202</v>
      </c>
      <c r="E1526" s="93" t="s">
        <v>203</v>
      </c>
    </row>
    <row r="1527" spans="1:5">
      <c r="A1527" s="94" t="s">
        <v>475</v>
      </c>
      <c r="B1527" s="95" t="s">
        <v>185</v>
      </c>
      <c r="C1527" s="96">
        <v>1</v>
      </c>
      <c r="D1527" s="97">
        <v>27600</v>
      </c>
      <c r="E1527" s="98">
        <f>ROUND(C1527*D1527,0)</f>
        <v>27600</v>
      </c>
    </row>
    <row r="1528" spans="1:5">
      <c r="A1528" s="94" t="s">
        <v>476</v>
      </c>
      <c r="B1528" s="95" t="s">
        <v>185</v>
      </c>
      <c r="C1528" s="96">
        <v>0.1</v>
      </c>
      <c r="D1528" s="97">
        <v>5000</v>
      </c>
      <c r="E1528" s="98">
        <f t="shared" ref="E1528" si="59">ROUND(C1528*D1528,0)</f>
        <v>500</v>
      </c>
    </row>
    <row r="1529" spans="1:5">
      <c r="A1529" s="99"/>
      <c r="B1529" s="101">
        <f>+E1529/D1539</f>
        <v>0.70250000000000001</v>
      </c>
      <c r="C1529" s="98"/>
      <c r="D1529" s="99" t="s">
        <v>209</v>
      </c>
      <c r="E1529" s="100">
        <f>SUM(E1527:E1528)</f>
        <v>28100</v>
      </c>
    </row>
    <row r="1530" spans="1:5">
      <c r="A1530" s="92" t="s">
        <v>210</v>
      </c>
      <c r="B1530" s="93" t="s">
        <v>164</v>
      </c>
      <c r="C1530" s="93" t="s">
        <v>2</v>
      </c>
      <c r="D1530" s="93" t="s">
        <v>202</v>
      </c>
      <c r="E1530" s="93" t="s">
        <v>203</v>
      </c>
    </row>
    <row r="1531" spans="1:5">
      <c r="A1531" s="94" t="s">
        <v>247</v>
      </c>
      <c r="B1531" s="95" t="s">
        <v>212</v>
      </c>
      <c r="C1531" s="96">
        <v>5.8950000000000002E-2</v>
      </c>
      <c r="D1531" s="97">
        <v>171670</v>
      </c>
      <c r="E1531" s="98">
        <f>ROUND(C1531*D1531,0)</f>
        <v>10120</v>
      </c>
    </row>
    <row r="1532" spans="1:5">
      <c r="A1532" s="99"/>
      <c r="B1532" s="101">
        <f>+E1532/D1539</f>
        <v>0.253</v>
      </c>
      <c r="C1532" s="98"/>
      <c r="D1532" s="99" t="s">
        <v>209</v>
      </c>
      <c r="E1532" s="100">
        <f>+E1531</f>
        <v>10120</v>
      </c>
    </row>
    <row r="1533" spans="1:5">
      <c r="A1533" s="92" t="s">
        <v>218</v>
      </c>
      <c r="B1533" s="93" t="s">
        <v>164</v>
      </c>
      <c r="C1533" s="93" t="s">
        <v>2</v>
      </c>
      <c r="D1533" s="93" t="s">
        <v>202</v>
      </c>
      <c r="E1533" s="93" t="s">
        <v>203</v>
      </c>
    </row>
    <row r="1534" spans="1:5">
      <c r="A1534" s="94" t="s">
        <v>213</v>
      </c>
      <c r="B1534" s="95" t="s">
        <v>214</v>
      </c>
      <c r="C1534" s="96">
        <v>0.05</v>
      </c>
      <c r="D1534" s="97">
        <f>+E1529</f>
        <v>28100</v>
      </c>
      <c r="E1534" s="98">
        <f>ROUND(C1534*D1534,0)</f>
        <v>1405</v>
      </c>
    </row>
    <row r="1535" spans="1:5">
      <c r="A1535" s="99"/>
      <c r="B1535" s="101">
        <f>+E1535/D1539</f>
        <v>3.5125000000000003E-2</v>
      </c>
      <c r="C1535" s="98"/>
      <c r="D1535" s="99" t="s">
        <v>209</v>
      </c>
      <c r="E1535" s="100">
        <f>SUM(E1534:E1534)</f>
        <v>1405</v>
      </c>
    </row>
    <row r="1536" spans="1:5">
      <c r="A1536" s="92" t="s">
        <v>219</v>
      </c>
      <c r="B1536" s="93" t="s">
        <v>164</v>
      </c>
      <c r="C1536" s="93" t="s">
        <v>2</v>
      </c>
      <c r="D1536" s="93" t="s">
        <v>202</v>
      </c>
      <c r="E1536" s="93" t="s">
        <v>203</v>
      </c>
    </row>
    <row r="1537" spans="1:5">
      <c r="A1537" s="94" t="s">
        <v>217</v>
      </c>
      <c r="B1537" s="95" t="s">
        <v>190</v>
      </c>
      <c r="C1537" s="96">
        <v>5.0000000000000001E-3</v>
      </c>
      <c r="D1537" s="97">
        <v>75000</v>
      </c>
      <c r="E1537" s="98">
        <f>ROUND(C1537*D1537,0)</f>
        <v>375</v>
      </c>
    </row>
    <row r="1538" spans="1:5">
      <c r="A1538" s="99"/>
      <c r="B1538" s="101">
        <f>+E1538/D1539</f>
        <v>9.3749999999999997E-3</v>
      </c>
      <c r="C1538" s="98"/>
      <c r="D1538" s="99" t="s">
        <v>209</v>
      </c>
      <c r="E1538" s="100">
        <f>SUM(E1537:E1537)</f>
        <v>375</v>
      </c>
    </row>
    <row r="1539" spans="1:5">
      <c r="A1539" s="213" t="s">
        <v>215</v>
      </c>
      <c r="B1539" s="213"/>
      <c r="C1539" s="213"/>
      <c r="D1539" s="214">
        <f>+E1538+E1535+E1532+E1529</f>
        <v>40000</v>
      </c>
      <c r="E1539" s="214"/>
    </row>
    <row r="1541" spans="1:5" ht="20.25">
      <c r="A1541" s="200" t="s">
        <v>216</v>
      </c>
      <c r="B1541" s="201"/>
      <c r="C1541" s="201"/>
      <c r="D1541" s="201"/>
      <c r="E1541" s="202"/>
    </row>
    <row r="1542" spans="1:5">
      <c r="A1542" s="203"/>
      <c r="B1542" s="204"/>
      <c r="C1542" s="205"/>
      <c r="D1542" s="90" t="s">
        <v>199</v>
      </c>
      <c r="E1542" s="90" t="s">
        <v>164</v>
      </c>
    </row>
    <row r="1543" spans="1:5">
      <c r="A1543" s="207" t="s">
        <v>457</v>
      </c>
      <c r="B1543" s="208"/>
      <c r="C1543" s="206"/>
      <c r="D1543" s="91" t="s">
        <v>340</v>
      </c>
      <c r="E1543" s="91" t="s">
        <v>164</v>
      </c>
    </row>
    <row r="1544" spans="1:5" ht="15.75">
      <c r="A1544" s="209" t="s">
        <v>200</v>
      </c>
      <c r="B1544" s="209"/>
      <c r="C1544" s="209"/>
      <c r="D1544" s="209"/>
      <c r="E1544" s="209"/>
    </row>
    <row r="1545" spans="1:5" ht="54" customHeight="1">
      <c r="A1545" s="210" t="s">
        <v>347</v>
      </c>
      <c r="B1545" s="211"/>
      <c r="C1545" s="211"/>
      <c r="D1545" s="211"/>
      <c r="E1545" s="212"/>
    </row>
    <row r="1546" spans="1:5">
      <c r="A1546" s="92" t="s">
        <v>201</v>
      </c>
      <c r="B1546" s="93" t="s">
        <v>164</v>
      </c>
      <c r="C1546" s="93" t="s">
        <v>2</v>
      </c>
      <c r="D1546" s="93" t="s">
        <v>202</v>
      </c>
      <c r="E1546" s="93" t="s">
        <v>203</v>
      </c>
    </row>
    <row r="1547" spans="1:5">
      <c r="A1547" s="94" t="s">
        <v>481</v>
      </c>
      <c r="B1547" s="95" t="s">
        <v>186</v>
      </c>
      <c r="C1547" s="96">
        <v>1.2</v>
      </c>
      <c r="D1547" s="97">
        <v>85000</v>
      </c>
      <c r="E1547" s="98">
        <f>ROUND(C1547*D1547,0)</f>
        <v>102000</v>
      </c>
    </row>
    <row r="1548" spans="1:5">
      <c r="A1548" s="94" t="s">
        <v>477</v>
      </c>
      <c r="B1548" s="95" t="s">
        <v>478</v>
      </c>
      <c r="C1548" s="96">
        <v>0.25</v>
      </c>
      <c r="D1548" s="97">
        <v>13597</v>
      </c>
      <c r="E1548" s="98">
        <f t="shared" ref="E1548:E1551" si="60">ROUND(C1548*D1548,0)</f>
        <v>3399</v>
      </c>
    </row>
    <row r="1549" spans="1:5">
      <c r="A1549" s="94" t="s">
        <v>479</v>
      </c>
      <c r="B1549" s="95" t="s">
        <v>263</v>
      </c>
      <c r="C1549" s="96">
        <v>0.1</v>
      </c>
      <c r="D1549" s="97">
        <v>39019</v>
      </c>
      <c r="E1549" s="98">
        <f t="shared" si="60"/>
        <v>3902</v>
      </c>
    </row>
    <row r="1550" spans="1:5" ht="25.5">
      <c r="A1550" s="173" t="s">
        <v>462</v>
      </c>
      <c r="B1550" s="95" t="s">
        <v>185</v>
      </c>
      <c r="C1550" s="96">
        <v>0.5</v>
      </c>
      <c r="D1550" s="97">
        <v>16705</v>
      </c>
      <c r="E1550" s="98">
        <f t="shared" si="60"/>
        <v>8353</v>
      </c>
    </row>
    <row r="1551" spans="1:5">
      <c r="A1551" s="94" t="s">
        <v>480</v>
      </c>
      <c r="B1551" s="95" t="s">
        <v>184</v>
      </c>
      <c r="C1551" s="96">
        <v>4.4000000000000004</v>
      </c>
      <c r="D1551" s="97">
        <v>5000</v>
      </c>
      <c r="E1551" s="98">
        <f t="shared" si="60"/>
        <v>22000</v>
      </c>
    </row>
    <row r="1552" spans="1:5">
      <c r="A1552" s="99"/>
      <c r="B1552" s="101">
        <f>+E1552/D1562</f>
        <v>0.69826999999999995</v>
      </c>
      <c r="C1552" s="98"/>
      <c r="D1552" s="99" t="s">
        <v>209</v>
      </c>
      <c r="E1552" s="100">
        <f>SUM(E1547:E1551)</f>
        <v>139654</v>
      </c>
    </row>
    <row r="1553" spans="1:5">
      <c r="A1553" s="92" t="s">
        <v>210</v>
      </c>
      <c r="B1553" s="93" t="s">
        <v>164</v>
      </c>
      <c r="C1553" s="93" t="s">
        <v>2</v>
      </c>
      <c r="D1553" s="93" t="s">
        <v>202</v>
      </c>
      <c r="E1553" s="93" t="s">
        <v>203</v>
      </c>
    </row>
    <row r="1554" spans="1:5">
      <c r="A1554" s="94" t="s">
        <v>247</v>
      </c>
      <c r="B1554" s="95" t="s">
        <v>212</v>
      </c>
      <c r="C1554" s="96">
        <v>0.30429200000000001</v>
      </c>
      <c r="D1554" s="97">
        <v>171670</v>
      </c>
      <c r="E1554" s="98">
        <f>ROUND(C1554*D1554,0)</f>
        <v>52238</v>
      </c>
    </row>
    <row r="1555" spans="1:5">
      <c r="A1555" s="99"/>
      <c r="B1555" s="101">
        <f>+E1555/D1562</f>
        <v>0.26118999999999998</v>
      </c>
      <c r="C1555" s="98"/>
      <c r="D1555" s="99" t="s">
        <v>209</v>
      </c>
      <c r="E1555" s="100">
        <f>+E1554</f>
        <v>52238</v>
      </c>
    </row>
    <row r="1556" spans="1:5">
      <c r="A1556" s="92" t="s">
        <v>218</v>
      </c>
      <c r="B1556" s="93" t="s">
        <v>164</v>
      </c>
      <c r="C1556" s="93" t="s">
        <v>2</v>
      </c>
      <c r="D1556" s="93" t="s">
        <v>202</v>
      </c>
      <c r="E1556" s="93" t="s">
        <v>203</v>
      </c>
    </row>
    <row r="1557" spans="1:5">
      <c r="A1557" s="94" t="s">
        <v>213</v>
      </c>
      <c r="B1557" s="95" t="s">
        <v>214</v>
      </c>
      <c r="C1557" s="96">
        <v>0.05</v>
      </c>
      <c r="D1557" s="97">
        <f>+E1552</f>
        <v>139654</v>
      </c>
      <c r="E1557" s="98">
        <f>ROUND(C1557*D1557,0)</f>
        <v>6983</v>
      </c>
    </row>
    <row r="1558" spans="1:5">
      <c r="A1558" s="99"/>
      <c r="B1558" s="101">
        <f>+E1558/D1562</f>
        <v>3.4915000000000002E-2</v>
      </c>
      <c r="C1558" s="98"/>
      <c r="D1558" s="99" t="s">
        <v>209</v>
      </c>
      <c r="E1558" s="100">
        <f>SUM(E1557:E1557)</f>
        <v>6983</v>
      </c>
    </row>
    <row r="1559" spans="1:5">
      <c r="A1559" s="92" t="s">
        <v>219</v>
      </c>
      <c r="B1559" s="93" t="s">
        <v>164</v>
      </c>
      <c r="C1559" s="93" t="s">
        <v>2</v>
      </c>
      <c r="D1559" s="93" t="s">
        <v>202</v>
      </c>
      <c r="E1559" s="93" t="s">
        <v>203</v>
      </c>
    </row>
    <row r="1560" spans="1:5">
      <c r="A1560" s="94" t="s">
        <v>217</v>
      </c>
      <c r="B1560" s="95" t="s">
        <v>190</v>
      </c>
      <c r="C1560" s="96">
        <v>1.4999999999999999E-2</v>
      </c>
      <c r="D1560" s="97">
        <v>75000</v>
      </c>
      <c r="E1560" s="98">
        <f>ROUND(C1560*D1560,0)</f>
        <v>1125</v>
      </c>
    </row>
    <row r="1561" spans="1:5">
      <c r="A1561" s="99"/>
      <c r="B1561" s="101">
        <f>+E1561/D1562</f>
        <v>5.6249999999999998E-3</v>
      </c>
      <c r="C1561" s="98"/>
      <c r="D1561" s="99" t="s">
        <v>209</v>
      </c>
      <c r="E1561" s="100">
        <f>SUM(E1560:E1560)</f>
        <v>1125</v>
      </c>
    </row>
    <row r="1562" spans="1:5">
      <c r="A1562" s="213" t="s">
        <v>215</v>
      </c>
      <c r="B1562" s="213"/>
      <c r="C1562" s="213"/>
      <c r="D1562" s="214">
        <f>+E1561+E1558+E1555+E1552</f>
        <v>200000</v>
      </c>
      <c r="E1562" s="214"/>
    </row>
    <row r="1564" spans="1:5" ht="20.25">
      <c r="A1564" s="200" t="s">
        <v>216</v>
      </c>
      <c r="B1564" s="201"/>
      <c r="C1564" s="201"/>
      <c r="D1564" s="201"/>
      <c r="E1564" s="202"/>
    </row>
    <row r="1565" spans="1:5">
      <c r="A1565" s="203"/>
      <c r="B1565" s="204"/>
      <c r="C1565" s="205"/>
      <c r="D1565" s="90" t="s">
        <v>199</v>
      </c>
      <c r="E1565" s="90" t="s">
        <v>164</v>
      </c>
    </row>
    <row r="1566" spans="1:5">
      <c r="A1566" s="207" t="s">
        <v>457</v>
      </c>
      <c r="B1566" s="208"/>
      <c r="C1566" s="206"/>
      <c r="D1566" s="91" t="s">
        <v>341</v>
      </c>
      <c r="E1566" s="91" t="s">
        <v>164</v>
      </c>
    </row>
    <row r="1567" spans="1:5" ht="15.75">
      <c r="A1567" s="209" t="s">
        <v>200</v>
      </c>
      <c r="B1567" s="209"/>
      <c r="C1567" s="209"/>
      <c r="D1567" s="209"/>
      <c r="E1567" s="209"/>
    </row>
    <row r="1568" spans="1:5" ht="43.15" customHeight="1">
      <c r="A1568" s="210" t="s">
        <v>348</v>
      </c>
      <c r="B1568" s="211"/>
      <c r="C1568" s="211"/>
      <c r="D1568" s="211"/>
      <c r="E1568" s="212"/>
    </row>
    <row r="1569" spans="1:5">
      <c r="A1569" s="92" t="s">
        <v>201</v>
      </c>
      <c r="B1569" s="93" t="s">
        <v>164</v>
      </c>
      <c r="C1569" s="93" t="s">
        <v>2</v>
      </c>
      <c r="D1569" s="93" t="s">
        <v>202</v>
      </c>
      <c r="E1569" s="93" t="s">
        <v>203</v>
      </c>
    </row>
    <row r="1570" spans="1:5" ht="38.25">
      <c r="A1570" s="94" t="s">
        <v>482</v>
      </c>
      <c r="B1570" s="95" t="s">
        <v>185</v>
      </c>
      <c r="C1570" s="96">
        <v>1</v>
      </c>
      <c r="D1570" s="97">
        <v>475000</v>
      </c>
      <c r="E1570" s="98">
        <f>ROUND(C1570*D1570,0)</f>
        <v>475000</v>
      </c>
    </row>
    <row r="1571" spans="1:5">
      <c r="A1571" s="94" t="s">
        <v>483</v>
      </c>
      <c r="B1571" s="95" t="s">
        <v>185</v>
      </c>
      <c r="C1571" s="96">
        <v>6</v>
      </c>
      <c r="D1571" s="97">
        <v>7520</v>
      </c>
      <c r="E1571" s="98">
        <f t="shared" ref="E1571" si="61">ROUND(C1571*D1571,0)</f>
        <v>45120</v>
      </c>
    </row>
    <row r="1572" spans="1:5">
      <c r="A1572" s="99"/>
      <c r="B1572" s="101">
        <f>+E1572/D1582</f>
        <v>0.86686666666666667</v>
      </c>
      <c r="C1572" s="98"/>
      <c r="D1572" s="99" t="s">
        <v>209</v>
      </c>
      <c r="E1572" s="100">
        <f>SUM(E1570:E1571)</f>
        <v>520120</v>
      </c>
    </row>
    <row r="1573" spans="1:5">
      <c r="A1573" s="92" t="s">
        <v>210</v>
      </c>
      <c r="B1573" s="93" t="s">
        <v>164</v>
      </c>
      <c r="C1573" s="93" t="s">
        <v>2</v>
      </c>
      <c r="D1573" s="93" t="s">
        <v>202</v>
      </c>
      <c r="E1573" s="93" t="s">
        <v>203</v>
      </c>
    </row>
    <row r="1574" spans="1:5">
      <c r="A1574" s="94" t="s">
        <v>247</v>
      </c>
      <c r="B1574" s="95" t="s">
        <v>212</v>
      </c>
      <c r="C1574" s="96">
        <v>0.30726999999999999</v>
      </c>
      <c r="D1574" s="97">
        <v>171670</v>
      </c>
      <c r="E1574" s="98">
        <f>ROUND(C1574*D1574,0)</f>
        <v>52749</v>
      </c>
    </row>
    <row r="1575" spans="1:5">
      <c r="A1575" s="99"/>
      <c r="B1575" s="101">
        <f>+E1575/D1582</f>
        <v>8.7914999999999993E-2</v>
      </c>
      <c r="C1575" s="98"/>
      <c r="D1575" s="99" t="s">
        <v>209</v>
      </c>
      <c r="E1575" s="100">
        <f>+E1574</f>
        <v>52749</v>
      </c>
    </row>
    <row r="1576" spans="1:5">
      <c r="A1576" s="92" t="s">
        <v>218</v>
      </c>
      <c r="B1576" s="93" t="s">
        <v>164</v>
      </c>
      <c r="C1576" s="93" t="s">
        <v>2</v>
      </c>
      <c r="D1576" s="93" t="s">
        <v>202</v>
      </c>
      <c r="E1576" s="93" t="s">
        <v>203</v>
      </c>
    </row>
    <row r="1577" spans="1:5">
      <c r="A1577" s="94" t="s">
        <v>213</v>
      </c>
      <c r="B1577" s="95" t="s">
        <v>214</v>
      </c>
      <c r="C1577" s="96">
        <v>0.05</v>
      </c>
      <c r="D1577" s="97">
        <f>+E1572</f>
        <v>520120</v>
      </c>
      <c r="E1577" s="98">
        <f>ROUND(C1577*D1577,0)</f>
        <v>26006</v>
      </c>
    </row>
    <row r="1578" spans="1:5">
      <c r="A1578" s="99"/>
      <c r="B1578" s="101">
        <f>+E1578/D1582</f>
        <v>4.3343333333333331E-2</v>
      </c>
      <c r="C1578" s="98"/>
      <c r="D1578" s="99" t="s">
        <v>209</v>
      </c>
      <c r="E1578" s="100">
        <f>SUM(E1577:E1577)</f>
        <v>26006</v>
      </c>
    </row>
    <row r="1579" spans="1:5">
      <c r="A1579" s="92" t="s">
        <v>219</v>
      </c>
      <c r="B1579" s="93" t="s">
        <v>164</v>
      </c>
      <c r="C1579" s="93" t="s">
        <v>2</v>
      </c>
      <c r="D1579" s="93" t="s">
        <v>202</v>
      </c>
      <c r="E1579" s="93" t="s">
        <v>203</v>
      </c>
    </row>
    <row r="1580" spans="1:5">
      <c r="A1580" s="94" t="s">
        <v>217</v>
      </c>
      <c r="B1580" s="95" t="s">
        <v>190</v>
      </c>
      <c r="C1580" s="96">
        <v>1.4999999999999999E-2</v>
      </c>
      <c r="D1580" s="97">
        <v>75000</v>
      </c>
      <c r="E1580" s="98">
        <f>ROUND(C1580*D1580,0)</f>
        <v>1125</v>
      </c>
    </row>
    <row r="1581" spans="1:5">
      <c r="A1581" s="99"/>
      <c r="B1581" s="101">
        <f>+E1581/D1582</f>
        <v>1.8749999999999999E-3</v>
      </c>
      <c r="C1581" s="98"/>
      <c r="D1581" s="99" t="s">
        <v>209</v>
      </c>
      <c r="E1581" s="100">
        <f>SUM(E1580:E1580)</f>
        <v>1125</v>
      </c>
    </row>
    <row r="1582" spans="1:5">
      <c r="A1582" s="213" t="s">
        <v>215</v>
      </c>
      <c r="B1582" s="213"/>
      <c r="C1582" s="213"/>
      <c r="D1582" s="214">
        <f>+E1581+E1578+E1575+E1572</f>
        <v>600000</v>
      </c>
      <c r="E1582" s="214"/>
    </row>
    <row r="1584" spans="1:5" ht="20.25">
      <c r="A1584" s="200" t="s">
        <v>216</v>
      </c>
      <c r="B1584" s="201"/>
      <c r="C1584" s="201"/>
      <c r="D1584" s="201"/>
      <c r="E1584" s="202"/>
    </row>
    <row r="1585" spans="1:5">
      <c r="A1585" s="203"/>
      <c r="B1585" s="204"/>
      <c r="C1585" s="205"/>
      <c r="D1585" s="90" t="s">
        <v>199</v>
      </c>
      <c r="E1585" s="90" t="s">
        <v>164</v>
      </c>
    </row>
    <row r="1586" spans="1:5">
      <c r="A1586" s="207" t="s">
        <v>457</v>
      </c>
      <c r="B1586" s="208"/>
      <c r="C1586" s="206"/>
      <c r="D1586" s="91" t="s">
        <v>342</v>
      </c>
      <c r="E1586" s="91" t="s">
        <v>164</v>
      </c>
    </row>
    <row r="1587" spans="1:5" ht="15.75">
      <c r="A1587" s="209" t="s">
        <v>200</v>
      </c>
      <c r="B1587" s="209"/>
      <c r="C1587" s="209"/>
      <c r="D1587" s="209"/>
      <c r="E1587" s="209"/>
    </row>
    <row r="1588" spans="1:5" ht="46.5" customHeight="1">
      <c r="A1588" s="210" t="s">
        <v>349</v>
      </c>
      <c r="B1588" s="211"/>
      <c r="C1588" s="211"/>
      <c r="D1588" s="211"/>
      <c r="E1588" s="212"/>
    </row>
    <row r="1589" spans="1:5">
      <c r="A1589" s="92" t="s">
        <v>201</v>
      </c>
      <c r="B1589" s="93" t="s">
        <v>164</v>
      </c>
      <c r="C1589" s="93" t="s">
        <v>2</v>
      </c>
      <c r="D1589" s="93" t="s">
        <v>202</v>
      </c>
      <c r="E1589" s="93" t="s">
        <v>203</v>
      </c>
    </row>
    <row r="1590" spans="1:5">
      <c r="A1590" s="94" t="s">
        <v>484</v>
      </c>
      <c r="B1590" s="95" t="s">
        <v>185</v>
      </c>
      <c r="C1590" s="96">
        <v>1</v>
      </c>
      <c r="D1590" s="97">
        <v>135000</v>
      </c>
      <c r="E1590" s="98">
        <f>ROUND(C1590*D1590,0)</f>
        <v>135000</v>
      </c>
    </row>
    <row r="1591" spans="1:5" ht="25.5">
      <c r="A1591" s="173" t="s">
        <v>485</v>
      </c>
      <c r="B1591" s="95" t="s">
        <v>185</v>
      </c>
      <c r="C1591" s="96">
        <v>4</v>
      </c>
      <c r="D1591" s="97">
        <v>1097</v>
      </c>
      <c r="E1591" s="98">
        <f t="shared" ref="E1591" si="62">ROUND(C1591*D1591,0)</f>
        <v>4388</v>
      </c>
    </row>
    <row r="1592" spans="1:5">
      <c r="A1592" s="99"/>
      <c r="B1592" s="101">
        <f>+E1592/D1602</f>
        <v>0.69694</v>
      </c>
      <c r="C1592" s="98"/>
      <c r="D1592" s="99" t="s">
        <v>209</v>
      </c>
      <c r="E1592" s="100">
        <f>SUM(E1590:E1591)</f>
        <v>139388</v>
      </c>
    </row>
    <row r="1593" spans="1:5">
      <c r="A1593" s="92" t="s">
        <v>210</v>
      </c>
      <c r="B1593" s="93" t="s">
        <v>164</v>
      </c>
      <c r="C1593" s="93" t="s">
        <v>2</v>
      </c>
      <c r="D1593" s="93" t="s">
        <v>202</v>
      </c>
      <c r="E1593" s="93" t="s">
        <v>203</v>
      </c>
    </row>
    <row r="1594" spans="1:5">
      <c r="A1594" s="94" t="s">
        <v>247</v>
      </c>
      <c r="B1594" s="95" t="s">
        <v>212</v>
      </c>
      <c r="C1594" s="96">
        <v>0.305925</v>
      </c>
      <c r="D1594" s="97">
        <v>171670</v>
      </c>
      <c r="E1594" s="98">
        <f>ROUND(C1594*D1594,0)</f>
        <v>52518</v>
      </c>
    </row>
    <row r="1595" spans="1:5">
      <c r="A1595" s="99"/>
      <c r="B1595" s="101">
        <f>+E1595/D1602</f>
        <v>0.26258999999999999</v>
      </c>
      <c r="C1595" s="98"/>
      <c r="D1595" s="99" t="s">
        <v>209</v>
      </c>
      <c r="E1595" s="100">
        <f>+E1594</f>
        <v>52518</v>
      </c>
    </row>
    <row r="1596" spans="1:5">
      <c r="A1596" s="92" t="s">
        <v>218</v>
      </c>
      <c r="B1596" s="93" t="s">
        <v>164</v>
      </c>
      <c r="C1596" s="93" t="s">
        <v>2</v>
      </c>
      <c r="D1596" s="93" t="s">
        <v>202</v>
      </c>
      <c r="E1596" s="93" t="s">
        <v>203</v>
      </c>
    </row>
    <row r="1597" spans="1:5">
      <c r="A1597" s="94" t="s">
        <v>213</v>
      </c>
      <c r="B1597" s="95" t="s">
        <v>214</v>
      </c>
      <c r="C1597" s="96">
        <v>0.05</v>
      </c>
      <c r="D1597" s="97">
        <f>+E1592</f>
        <v>139388</v>
      </c>
      <c r="E1597" s="98">
        <f>ROUND(C1597*D1597,0)</f>
        <v>6969</v>
      </c>
    </row>
    <row r="1598" spans="1:5">
      <c r="A1598" s="99"/>
      <c r="B1598" s="101">
        <f>+E1598/D1602</f>
        <v>3.4845000000000001E-2</v>
      </c>
      <c r="C1598" s="98"/>
      <c r="D1598" s="99" t="s">
        <v>209</v>
      </c>
      <c r="E1598" s="100">
        <f>SUM(E1597:E1597)</f>
        <v>6969</v>
      </c>
    </row>
    <row r="1599" spans="1:5">
      <c r="A1599" s="92" t="s">
        <v>219</v>
      </c>
      <c r="B1599" s="93" t="s">
        <v>164</v>
      </c>
      <c r="C1599" s="93" t="s">
        <v>2</v>
      </c>
      <c r="D1599" s="93" t="s">
        <v>202</v>
      </c>
      <c r="E1599" s="93" t="s">
        <v>203</v>
      </c>
    </row>
    <row r="1600" spans="1:5">
      <c r="A1600" s="94" t="s">
        <v>217</v>
      </c>
      <c r="B1600" s="95" t="s">
        <v>190</v>
      </c>
      <c r="C1600" s="96">
        <v>1.4999999999999999E-2</v>
      </c>
      <c r="D1600" s="97">
        <v>75000</v>
      </c>
      <c r="E1600" s="98">
        <f>ROUND(C1600*D1600,0)</f>
        <v>1125</v>
      </c>
    </row>
    <row r="1601" spans="1:5">
      <c r="A1601" s="99"/>
      <c r="B1601" s="101">
        <f>+E1601/D1602</f>
        <v>5.6249999999999998E-3</v>
      </c>
      <c r="C1601" s="98"/>
      <c r="D1601" s="99" t="s">
        <v>209</v>
      </c>
      <c r="E1601" s="100">
        <f>SUM(E1600:E1600)</f>
        <v>1125</v>
      </c>
    </row>
    <row r="1602" spans="1:5">
      <c r="A1602" s="213" t="s">
        <v>215</v>
      </c>
      <c r="B1602" s="213"/>
      <c r="C1602" s="213"/>
      <c r="D1602" s="214">
        <f>+E1601+E1598+E1595+E1592</f>
        <v>200000</v>
      </c>
      <c r="E1602" s="214"/>
    </row>
    <row r="1604" spans="1:5" ht="20.25">
      <c r="A1604" s="200" t="s">
        <v>216</v>
      </c>
      <c r="B1604" s="201"/>
      <c r="C1604" s="201"/>
      <c r="D1604" s="201"/>
      <c r="E1604" s="202"/>
    </row>
    <row r="1605" spans="1:5">
      <c r="A1605" s="203"/>
      <c r="B1605" s="204"/>
      <c r="C1605" s="205"/>
      <c r="D1605" s="90" t="s">
        <v>199</v>
      </c>
      <c r="E1605" s="90" t="s">
        <v>164</v>
      </c>
    </row>
    <row r="1606" spans="1:5">
      <c r="A1606" s="207" t="s">
        <v>457</v>
      </c>
      <c r="B1606" s="208"/>
      <c r="C1606" s="206"/>
      <c r="D1606" s="91" t="s">
        <v>343</v>
      </c>
      <c r="E1606" s="91" t="s">
        <v>189</v>
      </c>
    </row>
    <row r="1607" spans="1:5" ht="15.75">
      <c r="A1607" s="209" t="s">
        <v>200</v>
      </c>
      <c r="B1607" s="209"/>
      <c r="C1607" s="209"/>
      <c r="D1607" s="209"/>
      <c r="E1607" s="209"/>
    </row>
    <row r="1608" spans="1:5" ht="39.75" customHeight="1">
      <c r="A1608" s="210" t="s">
        <v>350</v>
      </c>
      <c r="B1608" s="211"/>
      <c r="C1608" s="211"/>
      <c r="D1608" s="211"/>
      <c r="E1608" s="212"/>
    </row>
    <row r="1609" spans="1:5">
      <c r="A1609" s="92" t="s">
        <v>201</v>
      </c>
      <c r="B1609" s="93" t="s">
        <v>164</v>
      </c>
      <c r="C1609" s="93" t="s">
        <v>2</v>
      </c>
      <c r="D1609" s="93" t="s">
        <v>202</v>
      </c>
      <c r="E1609" s="93" t="s">
        <v>203</v>
      </c>
    </row>
    <row r="1610" spans="1:5">
      <c r="A1610" s="94" t="s">
        <v>486</v>
      </c>
      <c r="B1610" s="95" t="s">
        <v>189</v>
      </c>
      <c r="C1610" s="96">
        <v>1</v>
      </c>
      <c r="D1610" s="97">
        <v>152000</v>
      </c>
      <c r="E1610" s="98">
        <f>ROUND(C1610*D1610,0)</f>
        <v>152000</v>
      </c>
    </row>
    <row r="1611" spans="1:5" ht="25.5">
      <c r="A1611" s="173" t="s">
        <v>485</v>
      </c>
      <c r="B1611" s="95" t="s">
        <v>185</v>
      </c>
      <c r="C1611" s="96">
        <v>4</v>
      </c>
      <c r="D1611" s="97">
        <v>1097</v>
      </c>
      <c r="E1611" s="98">
        <f t="shared" ref="E1611" si="63">ROUND(C1611*D1611,0)</f>
        <v>4388</v>
      </c>
    </row>
    <row r="1612" spans="1:5">
      <c r="A1612" s="99"/>
      <c r="B1612" s="101">
        <f>+E1612/D1622</f>
        <v>0.78193999999999997</v>
      </c>
      <c r="C1612" s="98"/>
      <c r="D1612" s="99" t="s">
        <v>209</v>
      </c>
      <c r="E1612" s="100">
        <f>SUM(E1610:E1611)</f>
        <v>156388</v>
      </c>
    </row>
    <row r="1613" spans="1:5">
      <c r="A1613" s="92" t="s">
        <v>210</v>
      </c>
      <c r="B1613" s="93" t="s">
        <v>164</v>
      </c>
      <c r="C1613" s="93" t="s">
        <v>2</v>
      </c>
      <c r="D1613" s="93" t="s">
        <v>202</v>
      </c>
      <c r="E1613" s="93" t="s">
        <v>203</v>
      </c>
    </row>
    <row r="1614" spans="1:5">
      <c r="A1614" s="94" t="s">
        <v>247</v>
      </c>
      <c r="B1614" s="95" t="s">
        <v>212</v>
      </c>
      <c r="C1614" s="96">
        <v>0.19539000000000001</v>
      </c>
      <c r="D1614" s="97">
        <v>171670</v>
      </c>
      <c r="E1614" s="98">
        <f>ROUND(C1614*D1614,0)</f>
        <v>33543</v>
      </c>
    </row>
    <row r="1615" spans="1:5">
      <c r="A1615" s="99"/>
      <c r="B1615" s="101">
        <f>+E1615/D1622</f>
        <v>0.167715</v>
      </c>
      <c r="C1615" s="98"/>
      <c r="D1615" s="99" t="s">
        <v>209</v>
      </c>
      <c r="E1615" s="100">
        <f>+E1614</f>
        <v>33543</v>
      </c>
    </row>
    <row r="1616" spans="1:5">
      <c r="A1616" s="92" t="s">
        <v>218</v>
      </c>
      <c r="B1616" s="93" t="s">
        <v>164</v>
      </c>
      <c r="C1616" s="93" t="s">
        <v>2</v>
      </c>
      <c r="D1616" s="93" t="s">
        <v>202</v>
      </c>
      <c r="E1616" s="93" t="s">
        <v>203</v>
      </c>
    </row>
    <row r="1617" spans="1:5">
      <c r="A1617" s="94" t="s">
        <v>213</v>
      </c>
      <c r="B1617" s="95" t="s">
        <v>214</v>
      </c>
      <c r="C1617" s="96">
        <v>0.05</v>
      </c>
      <c r="D1617" s="97">
        <f>+E1612</f>
        <v>156388</v>
      </c>
      <c r="E1617" s="98">
        <f>ROUND(C1617*D1617,0)</f>
        <v>7819</v>
      </c>
    </row>
    <row r="1618" spans="1:5">
      <c r="A1618" s="99"/>
      <c r="B1618" s="101">
        <f>+E1618/D1622</f>
        <v>3.9094999999999998E-2</v>
      </c>
      <c r="C1618" s="98"/>
      <c r="D1618" s="99" t="s">
        <v>209</v>
      </c>
      <c r="E1618" s="100">
        <f>SUM(E1617:E1617)</f>
        <v>7819</v>
      </c>
    </row>
    <row r="1619" spans="1:5">
      <c r="A1619" s="92" t="s">
        <v>219</v>
      </c>
      <c r="B1619" s="93" t="s">
        <v>164</v>
      </c>
      <c r="C1619" s="93" t="s">
        <v>2</v>
      </c>
      <c r="D1619" s="93" t="s">
        <v>202</v>
      </c>
      <c r="E1619" s="93" t="s">
        <v>203</v>
      </c>
    </row>
    <row r="1620" spans="1:5">
      <c r="A1620" s="94" t="s">
        <v>217</v>
      </c>
      <c r="B1620" s="95" t="s">
        <v>190</v>
      </c>
      <c r="C1620" s="96">
        <v>0.03</v>
      </c>
      <c r="D1620" s="97">
        <v>75000</v>
      </c>
      <c r="E1620" s="98">
        <f>ROUND(C1620*D1620,0)</f>
        <v>2250</v>
      </c>
    </row>
    <row r="1621" spans="1:5">
      <c r="A1621" s="99"/>
      <c r="B1621" s="101">
        <f>+E1621/D1622</f>
        <v>1.125E-2</v>
      </c>
      <c r="C1621" s="98"/>
      <c r="D1621" s="99" t="s">
        <v>209</v>
      </c>
      <c r="E1621" s="100">
        <f>SUM(E1620:E1620)</f>
        <v>2250</v>
      </c>
    </row>
    <row r="1622" spans="1:5">
      <c r="A1622" s="213" t="s">
        <v>215</v>
      </c>
      <c r="B1622" s="213"/>
      <c r="C1622" s="213"/>
      <c r="D1622" s="214">
        <f>+E1621+E1618+E1615+E1612</f>
        <v>200000</v>
      </c>
      <c r="E1622" s="214"/>
    </row>
    <row r="1624" spans="1:5" ht="20.25">
      <c r="A1624" s="200" t="s">
        <v>216</v>
      </c>
      <c r="B1624" s="201"/>
      <c r="C1624" s="201"/>
      <c r="D1624" s="201"/>
      <c r="E1624" s="202"/>
    </row>
    <row r="1625" spans="1:5">
      <c r="A1625" s="203"/>
      <c r="B1625" s="204"/>
      <c r="C1625" s="205"/>
      <c r="D1625" s="90" t="s">
        <v>199</v>
      </c>
      <c r="E1625" s="90" t="s">
        <v>164</v>
      </c>
    </row>
    <row r="1626" spans="1:5">
      <c r="A1626" s="207" t="s">
        <v>457</v>
      </c>
      <c r="B1626" s="208"/>
      <c r="C1626" s="206"/>
      <c r="D1626" s="91" t="s">
        <v>492</v>
      </c>
      <c r="E1626" s="91" t="s">
        <v>185</v>
      </c>
    </row>
    <row r="1627" spans="1:5" ht="15.75">
      <c r="A1627" s="209" t="s">
        <v>200</v>
      </c>
      <c r="B1627" s="209"/>
      <c r="C1627" s="209"/>
      <c r="D1627" s="209"/>
      <c r="E1627" s="209"/>
    </row>
    <row r="1628" spans="1:5" ht="85.5" customHeight="1">
      <c r="A1628" s="210" t="s">
        <v>614</v>
      </c>
      <c r="B1628" s="211"/>
      <c r="C1628" s="211"/>
      <c r="D1628" s="211"/>
      <c r="E1628" s="212"/>
    </row>
    <row r="1629" spans="1:5">
      <c r="A1629" s="92" t="s">
        <v>201</v>
      </c>
      <c r="B1629" s="93" t="s">
        <v>164</v>
      </c>
      <c r="C1629" s="93" t="s">
        <v>2</v>
      </c>
      <c r="D1629" s="93" t="s">
        <v>202</v>
      </c>
      <c r="E1629" s="93" t="s">
        <v>203</v>
      </c>
    </row>
    <row r="1630" spans="1:5">
      <c r="A1630" s="159" t="s">
        <v>604</v>
      </c>
      <c r="B1630" s="160" t="s">
        <v>185</v>
      </c>
      <c r="C1630" s="161">
        <v>1</v>
      </c>
      <c r="D1630" s="162">
        <f>19235012/0.8</f>
        <v>24043765</v>
      </c>
      <c r="E1630" s="166">
        <f>ROUND(C1630*D1630,0)</f>
        <v>24043765</v>
      </c>
    </row>
    <row r="1631" spans="1:5">
      <c r="A1631" s="159" t="s">
        <v>606</v>
      </c>
      <c r="B1631" s="160" t="s">
        <v>185</v>
      </c>
      <c r="C1631" s="161">
        <v>1</v>
      </c>
      <c r="D1631" s="162">
        <v>150000</v>
      </c>
      <c r="E1631" s="166">
        <f t="shared" ref="E1631:E1636" si="64">ROUND(C1631*D1631,0)</f>
        <v>150000</v>
      </c>
    </row>
    <row r="1632" spans="1:5">
      <c r="A1632" s="159" t="s">
        <v>607</v>
      </c>
      <c r="B1632" s="160" t="s">
        <v>184</v>
      </c>
      <c r="C1632" s="161">
        <v>2.5</v>
      </c>
      <c r="D1632" s="162">
        <v>4100</v>
      </c>
      <c r="E1632" s="166">
        <f t="shared" si="64"/>
        <v>10250</v>
      </c>
    </row>
    <row r="1633" spans="1:5">
      <c r="A1633" s="159" t="s">
        <v>608</v>
      </c>
      <c r="B1633" s="160" t="s">
        <v>187</v>
      </c>
      <c r="C1633" s="161">
        <v>1</v>
      </c>
      <c r="D1633" s="162">
        <v>3500000</v>
      </c>
      <c r="E1633" s="166">
        <f t="shared" si="64"/>
        <v>3500000</v>
      </c>
    </row>
    <row r="1634" spans="1:5">
      <c r="A1634" s="159" t="s">
        <v>609</v>
      </c>
      <c r="B1634" s="163" t="s">
        <v>186</v>
      </c>
      <c r="C1634" s="164">
        <v>0.34</v>
      </c>
      <c r="D1634" s="165">
        <v>28375</v>
      </c>
      <c r="E1634" s="166">
        <f t="shared" si="64"/>
        <v>9648</v>
      </c>
    </row>
    <row r="1635" spans="1:5">
      <c r="A1635" s="159" t="s">
        <v>610</v>
      </c>
      <c r="B1635" s="163" t="s">
        <v>538</v>
      </c>
      <c r="C1635" s="164">
        <v>1</v>
      </c>
      <c r="D1635" s="165">
        <v>1000</v>
      </c>
      <c r="E1635" s="166">
        <f t="shared" si="64"/>
        <v>1000</v>
      </c>
    </row>
    <row r="1636" spans="1:5">
      <c r="A1636" s="159" t="s">
        <v>611</v>
      </c>
      <c r="B1636" s="163" t="s">
        <v>185</v>
      </c>
      <c r="C1636" s="164">
        <v>4</v>
      </c>
      <c r="D1636" s="165">
        <v>16660</v>
      </c>
      <c r="E1636" s="166">
        <f t="shared" si="64"/>
        <v>66640</v>
      </c>
    </row>
    <row r="1637" spans="1:5">
      <c r="A1637" s="94"/>
      <c r="B1637" s="95"/>
      <c r="C1637" s="96"/>
      <c r="D1637" s="97"/>
      <c r="E1637" s="166"/>
    </row>
    <row r="1638" spans="1:5">
      <c r="A1638" s="99"/>
      <c r="B1638" s="101"/>
      <c r="C1638" s="98"/>
      <c r="D1638" s="99" t="s">
        <v>209</v>
      </c>
      <c r="E1638" s="100">
        <f>SUM(E1630:E1637)</f>
        <v>27781303</v>
      </c>
    </row>
    <row r="1639" spans="1:5">
      <c r="A1639" s="92" t="s">
        <v>210</v>
      </c>
      <c r="B1639" s="93" t="s">
        <v>164</v>
      </c>
      <c r="C1639" s="93" t="s">
        <v>2</v>
      </c>
      <c r="D1639" s="93" t="s">
        <v>202</v>
      </c>
      <c r="E1639" s="93" t="s">
        <v>203</v>
      </c>
    </row>
    <row r="1640" spans="1:5">
      <c r="A1640" s="159" t="s">
        <v>247</v>
      </c>
      <c r="B1640" s="163" t="s">
        <v>212</v>
      </c>
      <c r="C1640" s="161">
        <v>5</v>
      </c>
      <c r="D1640" s="165">
        <v>165315</v>
      </c>
      <c r="E1640" s="98">
        <f>ROUND(C1640*D1640,0)</f>
        <v>826575</v>
      </c>
    </row>
    <row r="1641" spans="1:5">
      <c r="A1641" s="99"/>
      <c r="B1641" s="101"/>
      <c r="C1641" s="98"/>
      <c r="D1641" s="99" t="s">
        <v>209</v>
      </c>
      <c r="E1641" s="100">
        <f>+E1640</f>
        <v>826575</v>
      </c>
    </row>
    <row r="1642" spans="1:5">
      <c r="A1642" s="92" t="s">
        <v>218</v>
      </c>
      <c r="B1642" s="93" t="s">
        <v>164</v>
      </c>
      <c r="C1642" s="93" t="s">
        <v>2</v>
      </c>
      <c r="D1642" s="93" t="s">
        <v>202</v>
      </c>
      <c r="E1642" s="93" t="s">
        <v>203</v>
      </c>
    </row>
    <row r="1643" spans="1:5">
      <c r="A1643" s="159" t="s">
        <v>213</v>
      </c>
      <c r="B1643" s="160" t="s">
        <v>613</v>
      </c>
      <c r="C1643" s="161">
        <v>0.02</v>
      </c>
      <c r="D1643" s="165">
        <v>826575</v>
      </c>
      <c r="E1643" s="98">
        <f>ROUND(C1643*D1643,0)</f>
        <v>16532</v>
      </c>
    </row>
    <row r="1644" spans="1:5">
      <c r="A1644" s="99"/>
      <c r="B1644" s="101"/>
      <c r="C1644" s="98"/>
      <c r="D1644" s="99" t="s">
        <v>209</v>
      </c>
      <c r="E1644" s="100">
        <f>SUM(E1643:E1643)</f>
        <v>16532</v>
      </c>
    </row>
    <row r="1645" spans="1:5">
      <c r="A1645" s="92" t="s">
        <v>219</v>
      </c>
      <c r="B1645" s="93" t="s">
        <v>164</v>
      </c>
      <c r="C1645" s="93" t="s">
        <v>2</v>
      </c>
      <c r="D1645" s="93" t="s">
        <v>202</v>
      </c>
      <c r="E1645" s="93" t="s">
        <v>203</v>
      </c>
    </row>
    <row r="1646" spans="1:5">
      <c r="A1646" s="159" t="s">
        <v>219</v>
      </c>
      <c r="B1646" s="163" t="s">
        <v>185</v>
      </c>
      <c r="C1646" s="164">
        <v>1</v>
      </c>
      <c r="D1646" s="165">
        <v>1500000</v>
      </c>
      <c r="E1646" s="98">
        <f>ROUND(C1646*D1646,0)</f>
        <v>1500000</v>
      </c>
    </row>
    <row r="1647" spans="1:5">
      <c r="A1647" s="99"/>
      <c r="B1647" s="101"/>
      <c r="C1647" s="98"/>
      <c r="D1647" s="99" t="s">
        <v>209</v>
      </c>
      <c r="E1647" s="100">
        <f>SUM(E1646:E1646)</f>
        <v>1500000</v>
      </c>
    </row>
    <row r="1648" spans="1:5">
      <c r="A1648" s="213" t="s">
        <v>215</v>
      </c>
      <c r="B1648" s="213"/>
      <c r="C1648" s="213"/>
      <c r="D1648" s="214">
        <f>E1647+E1644+E1641+E1638</f>
        <v>30124410</v>
      </c>
      <c r="E1648" s="214"/>
    </row>
    <row r="1650" spans="1:5" ht="20.25">
      <c r="A1650" s="200" t="s">
        <v>216</v>
      </c>
      <c r="B1650" s="201"/>
      <c r="C1650" s="201"/>
      <c r="D1650" s="201"/>
      <c r="E1650" s="202"/>
    </row>
    <row r="1651" spans="1:5">
      <c r="A1651" s="203"/>
      <c r="B1651" s="204"/>
      <c r="C1651" s="205"/>
      <c r="D1651" s="90" t="s">
        <v>199</v>
      </c>
      <c r="E1651" s="90" t="s">
        <v>164</v>
      </c>
    </row>
    <row r="1652" spans="1:5">
      <c r="A1652" s="207" t="s">
        <v>457</v>
      </c>
      <c r="B1652" s="208"/>
      <c r="C1652" s="206"/>
      <c r="D1652" s="91" t="s">
        <v>493</v>
      </c>
      <c r="E1652" s="91" t="s">
        <v>185</v>
      </c>
    </row>
    <row r="1653" spans="1:5" ht="15.75">
      <c r="A1653" s="209" t="s">
        <v>200</v>
      </c>
      <c r="B1653" s="209"/>
      <c r="C1653" s="209"/>
      <c r="D1653" s="209"/>
      <c r="E1653" s="209"/>
    </row>
    <row r="1654" spans="1:5" ht="42.6" customHeight="1">
      <c r="A1654" s="210" t="s">
        <v>489</v>
      </c>
      <c r="B1654" s="211"/>
      <c r="C1654" s="211"/>
      <c r="D1654" s="211"/>
      <c r="E1654" s="212"/>
    </row>
    <row r="1655" spans="1:5">
      <c r="A1655" s="92" t="s">
        <v>201</v>
      </c>
      <c r="B1655" s="93" t="s">
        <v>164</v>
      </c>
      <c r="C1655" s="93" t="s">
        <v>2</v>
      </c>
      <c r="D1655" s="93" t="s">
        <v>202</v>
      </c>
      <c r="E1655" s="93" t="s">
        <v>203</v>
      </c>
    </row>
    <row r="1656" spans="1:5">
      <c r="A1656" s="159" t="s">
        <v>615</v>
      </c>
      <c r="B1656" s="160" t="s">
        <v>185</v>
      </c>
      <c r="C1656" s="161">
        <v>1</v>
      </c>
      <c r="D1656" s="162">
        <f>3072000/0.8</f>
        <v>3840000</v>
      </c>
      <c r="E1656" s="166">
        <f>ROUND(C1656*D1656,0)</f>
        <v>3840000</v>
      </c>
    </row>
    <row r="1657" spans="1:5">
      <c r="A1657" s="159" t="s">
        <v>605</v>
      </c>
      <c r="B1657" s="163" t="s">
        <v>185</v>
      </c>
      <c r="C1657" s="164">
        <v>4</v>
      </c>
      <c r="D1657" s="165">
        <v>16660</v>
      </c>
      <c r="E1657" s="166">
        <f t="shared" ref="E1657:E1662" si="65">ROUND(C1657*D1657,0)</f>
        <v>66640</v>
      </c>
    </row>
    <row r="1658" spans="1:5">
      <c r="A1658" s="159" t="s">
        <v>616</v>
      </c>
      <c r="B1658" s="163" t="s">
        <v>538</v>
      </c>
      <c r="C1658" s="164">
        <v>1</v>
      </c>
      <c r="D1658" s="165">
        <v>300000</v>
      </c>
      <c r="E1658" s="166">
        <f t="shared" si="65"/>
        <v>300000</v>
      </c>
    </row>
    <row r="1659" spans="1:5">
      <c r="A1659" s="159" t="s">
        <v>617</v>
      </c>
      <c r="B1659" s="160" t="s">
        <v>185</v>
      </c>
      <c r="C1659" s="161">
        <v>1</v>
      </c>
      <c r="D1659" s="162">
        <f>19200/0.8</f>
        <v>24000</v>
      </c>
      <c r="E1659" s="166">
        <f t="shared" si="65"/>
        <v>24000</v>
      </c>
    </row>
    <row r="1660" spans="1:5">
      <c r="A1660" s="159" t="s">
        <v>618</v>
      </c>
      <c r="B1660" s="163" t="s">
        <v>185</v>
      </c>
      <c r="C1660" s="164">
        <v>1</v>
      </c>
      <c r="D1660" s="165">
        <f>52800/0.8</f>
        <v>66000</v>
      </c>
      <c r="E1660" s="166">
        <f t="shared" si="65"/>
        <v>66000</v>
      </c>
    </row>
    <row r="1661" spans="1:5">
      <c r="A1661" s="159" t="s">
        <v>619</v>
      </c>
      <c r="B1661" s="163" t="s">
        <v>185</v>
      </c>
      <c r="C1661" s="164">
        <v>1</v>
      </c>
      <c r="D1661" s="165">
        <f>85200/0.8</f>
        <v>106500</v>
      </c>
      <c r="E1661" s="166">
        <f t="shared" si="65"/>
        <v>106500</v>
      </c>
    </row>
    <row r="1662" spans="1:5">
      <c r="A1662" s="159"/>
      <c r="B1662" s="163"/>
      <c r="C1662" s="164"/>
      <c r="D1662" s="165"/>
      <c r="E1662" s="166">
        <f t="shared" si="65"/>
        <v>0</v>
      </c>
    </row>
    <row r="1663" spans="1:5">
      <c r="A1663" s="94"/>
      <c r="B1663" s="95"/>
      <c r="C1663" s="96"/>
      <c r="D1663" s="97"/>
      <c r="E1663" s="166"/>
    </row>
    <row r="1664" spans="1:5">
      <c r="A1664" s="99"/>
      <c r="B1664" s="101"/>
      <c r="C1664" s="98"/>
      <c r="D1664" s="99" t="s">
        <v>209</v>
      </c>
      <c r="E1664" s="100">
        <f>SUM(E1656:E1663)</f>
        <v>4403140</v>
      </c>
    </row>
    <row r="1665" spans="1:5">
      <c r="A1665" s="92" t="s">
        <v>210</v>
      </c>
      <c r="B1665" s="93" t="s">
        <v>164</v>
      </c>
      <c r="C1665" s="93" t="s">
        <v>2</v>
      </c>
      <c r="D1665" s="93" t="s">
        <v>202</v>
      </c>
      <c r="E1665" s="93" t="s">
        <v>203</v>
      </c>
    </row>
    <row r="1666" spans="1:5">
      <c r="A1666" s="159" t="s">
        <v>247</v>
      </c>
      <c r="B1666" s="163" t="s">
        <v>212</v>
      </c>
      <c r="C1666" s="161">
        <v>2.5</v>
      </c>
      <c r="D1666" s="165">
        <v>165315</v>
      </c>
      <c r="E1666" s="98">
        <f>ROUND(C1666*D1666,0)</f>
        <v>413288</v>
      </c>
    </row>
    <row r="1667" spans="1:5">
      <c r="A1667" s="99"/>
      <c r="B1667" s="101"/>
      <c r="C1667" s="98"/>
      <c r="D1667" s="99" t="s">
        <v>209</v>
      </c>
      <c r="E1667" s="100">
        <f>+E1666</f>
        <v>413288</v>
      </c>
    </row>
    <row r="1668" spans="1:5">
      <c r="A1668" s="92" t="s">
        <v>218</v>
      </c>
      <c r="B1668" s="93" t="s">
        <v>164</v>
      </c>
      <c r="C1668" s="93" t="s">
        <v>2</v>
      </c>
      <c r="D1668" s="93" t="s">
        <v>202</v>
      </c>
      <c r="E1668" s="93" t="s">
        <v>203</v>
      </c>
    </row>
    <row r="1669" spans="1:5">
      <c r="A1669" s="159" t="s">
        <v>612</v>
      </c>
      <c r="B1669" s="160" t="s">
        <v>613</v>
      </c>
      <c r="C1669" s="161">
        <v>0.1</v>
      </c>
      <c r="D1669" s="165">
        <v>413288</v>
      </c>
      <c r="E1669" s="98">
        <f>ROUND(C1669*D1669,0)</f>
        <v>41329</v>
      </c>
    </row>
    <row r="1670" spans="1:5">
      <c r="A1670" s="99"/>
      <c r="B1670" s="101"/>
      <c r="C1670" s="98"/>
      <c r="D1670" s="99" t="s">
        <v>209</v>
      </c>
      <c r="E1670" s="100">
        <f>SUM(E1669:E1669)</f>
        <v>41329</v>
      </c>
    </row>
    <row r="1671" spans="1:5">
      <c r="A1671" s="92" t="s">
        <v>219</v>
      </c>
      <c r="B1671" s="93" t="s">
        <v>164</v>
      </c>
      <c r="C1671" s="93" t="s">
        <v>2</v>
      </c>
      <c r="D1671" s="93" t="s">
        <v>202</v>
      </c>
      <c r="E1671" s="93" t="s">
        <v>203</v>
      </c>
    </row>
    <row r="1672" spans="1:5">
      <c r="A1672" s="159" t="s">
        <v>219</v>
      </c>
      <c r="B1672" s="163" t="s">
        <v>185</v>
      </c>
      <c r="C1672" s="164">
        <v>1</v>
      </c>
      <c r="D1672" s="165">
        <v>500000</v>
      </c>
      <c r="E1672" s="98">
        <f>ROUND(C1672*D1672,0)</f>
        <v>500000</v>
      </c>
    </row>
    <row r="1673" spans="1:5">
      <c r="A1673" s="99"/>
      <c r="B1673" s="101"/>
      <c r="C1673" s="98"/>
      <c r="D1673" s="99" t="s">
        <v>209</v>
      </c>
      <c r="E1673" s="100">
        <f>SUM(E1672:E1672)</f>
        <v>500000</v>
      </c>
    </row>
    <row r="1674" spans="1:5">
      <c r="A1674" s="213" t="s">
        <v>215</v>
      </c>
      <c r="B1674" s="213"/>
      <c r="C1674" s="213"/>
      <c r="D1674" s="214">
        <f>E1673+E1670+E1667+E1664</f>
        <v>5357757</v>
      </c>
      <c r="E1674" s="214"/>
    </row>
    <row r="1676" spans="1:5" ht="20.25">
      <c r="A1676" s="200" t="s">
        <v>216</v>
      </c>
      <c r="B1676" s="201"/>
      <c r="C1676" s="201"/>
      <c r="D1676" s="201"/>
      <c r="E1676" s="202"/>
    </row>
    <row r="1677" spans="1:5">
      <c r="A1677" s="203"/>
      <c r="B1677" s="204"/>
      <c r="C1677" s="205"/>
      <c r="D1677" s="90" t="s">
        <v>199</v>
      </c>
      <c r="E1677" s="90" t="s">
        <v>164</v>
      </c>
    </row>
    <row r="1678" spans="1:5">
      <c r="A1678" s="207" t="s">
        <v>457</v>
      </c>
      <c r="B1678" s="208"/>
      <c r="C1678" s="206"/>
      <c r="D1678" s="91" t="s">
        <v>502</v>
      </c>
      <c r="E1678" s="91" t="s">
        <v>185</v>
      </c>
    </row>
    <row r="1679" spans="1:5" ht="15.75">
      <c r="A1679" s="209" t="s">
        <v>200</v>
      </c>
      <c r="B1679" s="209"/>
      <c r="C1679" s="209"/>
      <c r="D1679" s="209"/>
      <c r="E1679" s="209"/>
    </row>
    <row r="1680" spans="1:5" ht="53.25" customHeight="1">
      <c r="A1680" s="210" t="s">
        <v>622</v>
      </c>
      <c r="B1680" s="211"/>
      <c r="C1680" s="211"/>
      <c r="D1680" s="211"/>
      <c r="E1680" s="212"/>
    </row>
    <row r="1681" spans="1:5">
      <c r="A1681" s="92" t="s">
        <v>201</v>
      </c>
      <c r="B1681" s="93" t="s">
        <v>164</v>
      </c>
      <c r="C1681" s="93" t="s">
        <v>2</v>
      </c>
      <c r="D1681" s="93" t="s">
        <v>202</v>
      </c>
      <c r="E1681" s="93" t="s">
        <v>203</v>
      </c>
    </row>
    <row r="1682" spans="1:5">
      <c r="A1682" s="159" t="s">
        <v>620</v>
      </c>
      <c r="B1682" s="167" t="s">
        <v>185</v>
      </c>
      <c r="C1682" s="164">
        <v>1</v>
      </c>
      <c r="D1682" s="165">
        <f>2028000/0.8</f>
        <v>2535000</v>
      </c>
      <c r="E1682" s="98">
        <f>ROUND(C1682*D1682,0)</f>
        <v>2535000</v>
      </c>
    </row>
    <row r="1683" spans="1:5">
      <c r="A1683" s="159" t="s">
        <v>621</v>
      </c>
      <c r="B1683" s="167" t="s">
        <v>185</v>
      </c>
      <c r="C1683" s="159">
        <v>1</v>
      </c>
      <c r="D1683" s="165">
        <f>39600/0.8</f>
        <v>49500</v>
      </c>
      <c r="E1683" s="98">
        <f t="shared" ref="E1683:E1689" si="66">ROUND(C1683*D1683,0)</f>
        <v>49500</v>
      </c>
    </row>
    <row r="1684" spans="1:5">
      <c r="A1684" s="94"/>
      <c r="B1684" s="95"/>
      <c r="C1684" s="96"/>
      <c r="D1684" s="97"/>
      <c r="E1684" s="98">
        <f t="shared" si="66"/>
        <v>0</v>
      </c>
    </row>
    <row r="1685" spans="1:5">
      <c r="A1685" s="94"/>
      <c r="B1685" s="95"/>
      <c r="C1685" s="96"/>
      <c r="D1685" s="97"/>
      <c r="E1685" s="98">
        <f t="shared" si="66"/>
        <v>0</v>
      </c>
    </row>
    <row r="1686" spans="1:5">
      <c r="A1686" s="94"/>
      <c r="B1686" s="95"/>
      <c r="C1686" s="96"/>
      <c r="D1686" s="97"/>
      <c r="E1686" s="98">
        <f t="shared" si="66"/>
        <v>0</v>
      </c>
    </row>
    <row r="1687" spans="1:5">
      <c r="A1687" s="94"/>
      <c r="B1687" s="95"/>
      <c r="C1687" s="96"/>
      <c r="D1687" s="97"/>
      <c r="E1687" s="98">
        <f t="shared" si="66"/>
        <v>0</v>
      </c>
    </row>
    <row r="1688" spans="1:5">
      <c r="A1688" s="94"/>
      <c r="B1688" s="95"/>
      <c r="C1688" s="96"/>
      <c r="D1688" s="97"/>
      <c r="E1688" s="98">
        <f t="shared" si="66"/>
        <v>0</v>
      </c>
    </row>
    <row r="1689" spans="1:5">
      <c r="A1689" s="94"/>
      <c r="B1689" s="95"/>
      <c r="C1689" s="96"/>
      <c r="D1689" s="97"/>
      <c r="E1689" s="98">
        <f t="shared" si="66"/>
        <v>0</v>
      </c>
    </row>
    <row r="1690" spans="1:5">
      <c r="A1690" s="99"/>
      <c r="B1690" s="101"/>
      <c r="C1690" s="98"/>
      <c r="D1690" s="99" t="s">
        <v>209</v>
      </c>
      <c r="E1690" s="100">
        <f>SUM(E1682:E1686)</f>
        <v>2584500</v>
      </c>
    </row>
    <row r="1691" spans="1:5">
      <c r="A1691" s="92" t="s">
        <v>210</v>
      </c>
      <c r="B1691" s="93" t="s">
        <v>164</v>
      </c>
      <c r="C1691" s="93" t="s">
        <v>2</v>
      </c>
      <c r="D1691" s="93" t="s">
        <v>202</v>
      </c>
      <c r="E1691" s="93" t="s">
        <v>203</v>
      </c>
    </row>
    <row r="1692" spans="1:5">
      <c r="A1692" s="94" t="s">
        <v>247</v>
      </c>
      <c r="B1692" s="95" t="s">
        <v>212</v>
      </c>
      <c r="C1692" s="96">
        <v>2.0202337472607743</v>
      </c>
      <c r="D1692" s="97">
        <v>165315</v>
      </c>
      <c r="E1692" s="98">
        <f>ROUND(C1692*D1692,0)</f>
        <v>333975</v>
      </c>
    </row>
    <row r="1693" spans="1:5">
      <c r="A1693" s="99"/>
      <c r="B1693" s="101">
        <f>+E1693/D1708</f>
        <v>0.10676687306610419</v>
      </c>
      <c r="C1693" s="98"/>
      <c r="D1693" s="99" t="s">
        <v>209</v>
      </c>
      <c r="E1693" s="100">
        <f>+E1692</f>
        <v>333975</v>
      </c>
    </row>
    <row r="1694" spans="1:5">
      <c r="A1694" s="92" t="s">
        <v>218</v>
      </c>
      <c r="B1694" s="93" t="s">
        <v>164</v>
      </c>
      <c r="C1694" s="93" t="s">
        <v>2</v>
      </c>
      <c r="D1694" s="93" t="s">
        <v>202</v>
      </c>
      <c r="E1694" s="93" t="s">
        <v>203</v>
      </c>
    </row>
    <row r="1695" spans="1:5">
      <c r="A1695" s="94" t="s">
        <v>623</v>
      </c>
      <c r="B1695" s="95" t="s">
        <v>613</v>
      </c>
      <c r="C1695" s="96">
        <v>5.0000000000000001E-3</v>
      </c>
      <c r="D1695" s="97">
        <v>333975</v>
      </c>
      <c r="E1695" s="98">
        <f>ROUND(C1695*D1695,0)</f>
        <v>1670</v>
      </c>
    </row>
    <row r="1696" spans="1:5">
      <c r="A1696" s="94" t="s">
        <v>624</v>
      </c>
      <c r="B1696" s="95" t="s">
        <v>613</v>
      </c>
      <c r="C1696" s="96">
        <v>5.0000000000000001E-3</v>
      </c>
      <c r="D1696" s="97">
        <v>333975</v>
      </c>
      <c r="E1696" s="98">
        <f t="shared" ref="E1696:E1703" si="67">ROUND(C1696*D1696,0)</f>
        <v>1670</v>
      </c>
    </row>
    <row r="1697" spans="1:5">
      <c r="A1697" s="94" t="s">
        <v>625</v>
      </c>
      <c r="B1697" s="95" t="s">
        <v>613</v>
      </c>
      <c r="C1697" s="96">
        <v>5.0000000000000001E-3</v>
      </c>
      <c r="D1697" s="97">
        <v>333975</v>
      </c>
      <c r="E1697" s="98">
        <f t="shared" si="67"/>
        <v>1670</v>
      </c>
    </row>
    <row r="1698" spans="1:5">
      <c r="A1698" s="94" t="s">
        <v>626</v>
      </c>
      <c r="B1698" s="95" t="s">
        <v>627</v>
      </c>
      <c r="C1698" s="96">
        <v>2.5000000000000001E-3</v>
      </c>
      <c r="D1698" s="97">
        <v>333975</v>
      </c>
      <c r="E1698" s="98">
        <f t="shared" si="67"/>
        <v>835</v>
      </c>
    </row>
    <row r="1699" spans="1:5">
      <c r="A1699" s="94" t="s">
        <v>628</v>
      </c>
      <c r="B1699" s="95" t="s">
        <v>627</v>
      </c>
      <c r="C1699" s="96">
        <v>0</v>
      </c>
      <c r="D1699" s="97">
        <v>333975</v>
      </c>
      <c r="E1699" s="98">
        <f t="shared" ref="E1699:E1700" si="68">ROUND(C1699*D1699,0)</f>
        <v>0</v>
      </c>
    </row>
    <row r="1700" spans="1:5">
      <c r="A1700" s="94" t="s">
        <v>629</v>
      </c>
      <c r="B1700" s="95" t="s">
        <v>627</v>
      </c>
      <c r="C1700" s="96">
        <v>5.0000000000000001E-3</v>
      </c>
      <c r="D1700" s="97">
        <v>333975</v>
      </c>
      <c r="E1700" s="98">
        <f t="shared" si="68"/>
        <v>1670</v>
      </c>
    </row>
    <row r="1701" spans="1:5">
      <c r="A1701" s="94" t="s">
        <v>630</v>
      </c>
      <c r="B1701" s="95" t="s">
        <v>627</v>
      </c>
      <c r="C1701" s="96">
        <v>1.25E-3</v>
      </c>
      <c r="D1701" s="97">
        <v>333975</v>
      </c>
      <c r="E1701" s="98">
        <f t="shared" si="67"/>
        <v>417</v>
      </c>
    </row>
    <row r="1702" spans="1:5">
      <c r="A1702" s="94" t="s">
        <v>631</v>
      </c>
      <c r="B1702" s="95" t="s">
        <v>627</v>
      </c>
      <c r="C1702" s="96">
        <v>5.0000000000000001E-3</v>
      </c>
      <c r="D1702" s="97">
        <v>333975</v>
      </c>
      <c r="E1702" s="98">
        <f t="shared" si="67"/>
        <v>1670</v>
      </c>
    </row>
    <row r="1703" spans="1:5">
      <c r="A1703" s="94"/>
      <c r="B1703" s="95"/>
      <c r="C1703" s="96"/>
      <c r="D1703" s="97"/>
      <c r="E1703" s="98">
        <f t="shared" si="67"/>
        <v>0</v>
      </c>
    </row>
    <row r="1704" spans="1:5">
      <c r="A1704" s="99"/>
      <c r="B1704" s="101">
        <f>+E1704/D1708</f>
        <v>3.0696175317934948E-3</v>
      </c>
      <c r="C1704" s="98"/>
      <c r="D1704" s="99" t="s">
        <v>209</v>
      </c>
      <c r="E1704" s="100">
        <f>SUM(E1695:E1703)</f>
        <v>9602</v>
      </c>
    </row>
    <row r="1705" spans="1:5">
      <c r="A1705" s="92" t="s">
        <v>219</v>
      </c>
      <c r="B1705" s="93" t="s">
        <v>164</v>
      </c>
      <c r="C1705" s="93" t="s">
        <v>2</v>
      </c>
      <c r="D1705" s="93" t="s">
        <v>202</v>
      </c>
      <c r="E1705" s="93" t="s">
        <v>203</v>
      </c>
    </row>
    <row r="1706" spans="1:5">
      <c r="A1706" s="94" t="s">
        <v>219</v>
      </c>
      <c r="B1706" s="95" t="s">
        <v>185</v>
      </c>
      <c r="C1706" s="96">
        <v>1</v>
      </c>
      <c r="D1706" s="97">
        <v>200000</v>
      </c>
      <c r="E1706" s="98">
        <f>ROUND(C1706*D1706,0)</f>
        <v>200000</v>
      </c>
    </row>
    <row r="1707" spans="1:5">
      <c r="A1707" s="99"/>
      <c r="B1707" s="101">
        <f>+E1707/D1708</f>
        <v>6.3937045027983641E-2</v>
      </c>
      <c r="C1707" s="98"/>
      <c r="D1707" s="99" t="s">
        <v>209</v>
      </c>
      <c r="E1707" s="100">
        <f>SUM(E1706:E1706)</f>
        <v>200000</v>
      </c>
    </row>
    <row r="1708" spans="1:5">
      <c r="A1708" s="213" t="s">
        <v>215</v>
      </c>
      <c r="B1708" s="213"/>
      <c r="C1708" s="213"/>
      <c r="D1708" s="214">
        <f>+E1707+E1704+E1693+E1690</f>
        <v>3128077</v>
      </c>
      <c r="E1708" s="214"/>
    </row>
    <row r="1710" spans="1:5" ht="20.25">
      <c r="A1710" s="200" t="s">
        <v>216</v>
      </c>
      <c r="B1710" s="201"/>
      <c r="C1710" s="201"/>
      <c r="D1710" s="201"/>
      <c r="E1710" s="202"/>
    </row>
    <row r="1711" spans="1:5">
      <c r="A1711" s="203"/>
      <c r="B1711" s="204"/>
      <c r="C1711" s="205"/>
      <c r="D1711" s="90" t="s">
        <v>199</v>
      </c>
      <c r="E1711" s="90" t="s">
        <v>164</v>
      </c>
    </row>
    <row r="1712" spans="1:5">
      <c r="A1712" s="207" t="s">
        <v>457</v>
      </c>
      <c r="B1712" s="208"/>
      <c r="C1712" s="206"/>
      <c r="D1712" s="91" t="s">
        <v>632</v>
      </c>
      <c r="E1712" s="91" t="s">
        <v>185</v>
      </c>
    </row>
    <row r="1713" spans="1:5" ht="15.75">
      <c r="A1713" s="209" t="s">
        <v>200</v>
      </c>
      <c r="B1713" s="209"/>
      <c r="C1713" s="209"/>
      <c r="D1713" s="209"/>
      <c r="E1713" s="209"/>
    </row>
    <row r="1714" spans="1:5" ht="42.6" customHeight="1">
      <c r="A1714" s="210" t="s">
        <v>633</v>
      </c>
      <c r="B1714" s="211"/>
      <c r="C1714" s="211"/>
      <c r="D1714" s="211"/>
      <c r="E1714" s="212"/>
    </row>
    <row r="1715" spans="1:5">
      <c r="A1715" s="92" t="s">
        <v>201</v>
      </c>
      <c r="B1715" s="93" t="s">
        <v>164</v>
      </c>
      <c r="C1715" s="93" t="s">
        <v>2</v>
      </c>
      <c r="D1715" s="93" t="s">
        <v>202</v>
      </c>
      <c r="E1715" s="93" t="s">
        <v>203</v>
      </c>
    </row>
    <row r="1716" spans="1:5">
      <c r="A1716" s="159" t="s">
        <v>634</v>
      </c>
      <c r="B1716" s="167" t="s">
        <v>185</v>
      </c>
      <c r="C1716" s="164">
        <v>1</v>
      </c>
      <c r="D1716" s="165">
        <v>6030000</v>
      </c>
      <c r="E1716" s="98">
        <f>ROUND(C1716*D1716,0)</f>
        <v>6030000</v>
      </c>
    </row>
    <row r="1717" spans="1:5">
      <c r="A1717" s="159" t="s">
        <v>635</v>
      </c>
      <c r="B1717" s="167" t="s">
        <v>207</v>
      </c>
      <c r="C1717" s="159">
        <v>0</v>
      </c>
      <c r="D1717" s="165">
        <v>19819</v>
      </c>
      <c r="E1717" s="98">
        <f t="shared" ref="E1717:E1723" si="69">ROUND(C1717*D1717,0)</f>
        <v>0</v>
      </c>
    </row>
    <row r="1718" spans="1:5">
      <c r="A1718" s="94"/>
      <c r="B1718" s="95"/>
      <c r="C1718" s="96"/>
      <c r="D1718" s="97"/>
      <c r="E1718" s="98">
        <f t="shared" si="69"/>
        <v>0</v>
      </c>
    </row>
    <row r="1719" spans="1:5">
      <c r="A1719" s="94"/>
      <c r="B1719" s="95"/>
      <c r="C1719" s="96"/>
      <c r="D1719" s="97"/>
      <c r="E1719" s="98">
        <f t="shared" si="69"/>
        <v>0</v>
      </c>
    </row>
    <row r="1720" spans="1:5">
      <c r="A1720" s="94"/>
      <c r="B1720" s="95"/>
      <c r="C1720" s="96"/>
      <c r="D1720" s="97"/>
      <c r="E1720" s="98">
        <f t="shared" si="69"/>
        <v>0</v>
      </c>
    </row>
    <row r="1721" spans="1:5">
      <c r="A1721" s="94"/>
      <c r="B1721" s="95"/>
      <c r="C1721" s="96"/>
      <c r="D1721" s="97"/>
      <c r="E1721" s="98">
        <f t="shared" si="69"/>
        <v>0</v>
      </c>
    </row>
    <row r="1722" spans="1:5">
      <c r="A1722" s="94"/>
      <c r="B1722" s="95"/>
      <c r="C1722" s="96"/>
      <c r="D1722" s="97"/>
      <c r="E1722" s="98">
        <f t="shared" si="69"/>
        <v>0</v>
      </c>
    </row>
    <row r="1723" spans="1:5">
      <c r="A1723" s="94"/>
      <c r="B1723" s="95"/>
      <c r="C1723" s="96"/>
      <c r="D1723" s="97"/>
      <c r="E1723" s="98">
        <f t="shared" si="69"/>
        <v>0</v>
      </c>
    </row>
    <row r="1724" spans="1:5">
      <c r="A1724" s="99"/>
      <c r="B1724" s="101"/>
      <c r="C1724" s="98"/>
      <c r="D1724" s="99" t="s">
        <v>209</v>
      </c>
      <c r="E1724" s="100">
        <f>SUM(E1716:E1720)</f>
        <v>6030000</v>
      </c>
    </row>
    <row r="1725" spans="1:5">
      <c r="A1725" s="92" t="s">
        <v>210</v>
      </c>
      <c r="B1725" s="93" t="s">
        <v>164</v>
      </c>
      <c r="C1725" s="93" t="s">
        <v>2</v>
      </c>
      <c r="D1725" s="93" t="s">
        <v>202</v>
      </c>
      <c r="E1725" s="93" t="s">
        <v>203</v>
      </c>
    </row>
    <row r="1726" spans="1:5">
      <c r="A1726" s="94" t="s">
        <v>247</v>
      </c>
      <c r="B1726" s="95" t="s">
        <v>212</v>
      </c>
      <c r="C1726" s="96">
        <v>2.0202337472607743</v>
      </c>
      <c r="D1726" s="97">
        <v>165315</v>
      </c>
      <c r="E1726" s="98">
        <f>ROUND(C1726*D1726,0)</f>
        <v>333975</v>
      </c>
    </row>
    <row r="1727" spans="1:5">
      <c r="A1727" s="99"/>
      <c r="B1727" s="101">
        <f>+E1727/D1742</f>
        <v>5.0805672467212293E-2</v>
      </c>
      <c r="C1727" s="98"/>
      <c r="D1727" s="99" t="s">
        <v>209</v>
      </c>
      <c r="E1727" s="100">
        <f>+E1726</f>
        <v>333975</v>
      </c>
    </row>
    <row r="1728" spans="1:5">
      <c r="A1728" s="92" t="s">
        <v>218</v>
      </c>
      <c r="B1728" s="93" t="s">
        <v>164</v>
      </c>
      <c r="C1728" s="93" t="s">
        <v>2</v>
      </c>
      <c r="D1728" s="93" t="s">
        <v>202</v>
      </c>
      <c r="E1728" s="93" t="s">
        <v>203</v>
      </c>
    </row>
    <row r="1729" spans="1:5">
      <c r="A1729" s="94" t="s">
        <v>623</v>
      </c>
      <c r="B1729" s="95" t="s">
        <v>613</v>
      </c>
      <c r="C1729" s="96">
        <v>5.0000000000000001E-3</v>
      </c>
      <c r="D1729" s="97">
        <v>333975</v>
      </c>
      <c r="E1729" s="98">
        <f>ROUND(C1729*D1729,0)</f>
        <v>1670</v>
      </c>
    </row>
    <row r="1730" spans="1:5">
      <c r="A1730" s="94" t="s">
        <v>624</v>
      </c>
      <c r="B1730" s="95" t="s">
        <v>613</v>
      </c>
      <c r="C1730" s="96">
        <v>5.0000000000000001E-3</v>
      </c>
      <c r="D1730" s="97">
        <v>333975</v>
      </c>
      <c r="E1730" s="98">
        <f t="shared" ref="E1730:E1737" si="70">ROUND(C1730*D1730,0)</f>
        <v>1670</v>
      </c>
    </row>
    <row r="1731" spans="1:5">
      <c r="A1731" s="94" t="s">
        <v>625</v>
      </c>
      <c r="B1731" s="95" t="s">
        <v>613</v>
      </c>
      <c r="C1731" s="96">
        <v>5.0000000000000001E-3</v>
      </c>
      <c r="D1731" s="97">
        <v>333975</v>
      </c>
      <c r="E1731" s="98">
        <f t="shared" si="70"/>
        <v>1670</v>
      </c>
    </row>
    <row r="1732" spans="1:5">
      <c r="A1732" s="94" t="s">
        <v>626</v>
      </c>
      <c r="B1732" s="95" t="s">
        <v>627</v>
      </c>
      <c r="C1732" s="96">
        <v>2.5000000000000001E-3</v>
      </c>
      <c r="D1732" s="97">
        <v>333975</v>
      </c>
      <c r="E1732" s="98">
        <f t="shared" si="70"/>
        <v>835</v>
      </c>
    </row>
    <row r="1733" spans="1:5">
      <c r="A1733" s="94" t="s">
        <v>628</v>
      </c>
      <c r="B1733" s="95" t="s">
        <v>627</v>
      </c>
      <c r="C1733" s="96">
        <v>0</v>
      </c>
      <c r="D1733" s="97">
        <v>333975</v>
      </c>
      <c r="E1733" s="98">
        <f t="shared" si="70"/>
        <v>0</v>
      </c>
    </row>
    <row r="1734" spans="1:5">
      <c r="A1734" s="94" t="s">
        <v>629</v>
      </c>
      <c r="B1734" s="95" t="s">
        <v>627</v>
      </c>
      <c r="C1734" s="96">
        <v>5.0000000000000001E-3</v>
      </c>
      <c r="D1734" s="97">
        <v>333975</v>
      </c>
      <c r="E1734" s="98">
        <f t="shared" si="70"/>
        <v>1670</v>
      </c>
    </row>
    <row r="1735" spans="1:5">
      <c r="A1735" s="94" t="s">
        <v>630</v>
      </c>
      <c r="B1735" s="95" t="s">
        <v>627</v>
      </c>
      <c r="C1735" s="96">
        <v>1.25E-3</v>
      </c>
      <c r="D1735" s="97">
        <v>333975</v>
      </c>
      <c r="E1735" s="98">
        <f t="shared" si="70"/>
        <v>417</v>
      </c>
    </row>
    <row r="1736" spans="1:5">
      <c r="A1736" s="94" t="s">
        <v>631</v>
      </c>
      <c r="B1736" s="95" t="s">
        <v>627</v>
      </c>
      <c r="C1736" s="96">
        <v>5.0000000000000001E-3</v>
      </c>
      <c r="D1736" s="97">
        <v>333975</v>
      </c>
      <c r="E1736" s="98">
        <f t="shared" si="70"/>
        <v>1670</v>
      </c>
    </row>
    <row r="1737" spans="1:5">
      <c r="A1737" s="94"/>
      <c r="B1737" s="95"/>
      <c r="C1737" s="96"/>
      <c r="D1737" s="97"/>
      <c r="E1737" s="98">
        <f t="shared" si="70"/>
        <v>0</v>
      </c>
    </row>
    <row r="1738" spans="1:5">
      <c r="A1738" s="99"/>
      <c r="B1738" s="101">
        <f>+E1738/D1742</f>
        <v>1.4606963605963694E-3</v>
      </c>
      <c r="C1738" s="98"/>
      <c r="D1738" s="99" t="s">
        <v>209</v>
      </c>
      <c r="E1738" s="100">
        <f>SUM(E1729:E1737)</f>
        <v>9602</v>
      </c>
    </row>
    <row r="1739" spans="1:5">
      <c r="A1739" s="92" t="s">
        <v>219</v>
      </c>
      <c r="B1739" s="93" t="s">
        <v>164</v>
      </c>
      <c r="C1739" s="93" t="s">
        <v>2</v>
      </c>
      <c r="D1739" s="93" t="s">
        <v>202</v>
      </c>
      <c r="E1739" s="93" t="s">
        <v>203</v>
      </c>
    </row>
    <row r="1740" spans="1:5">
      <c r="A1740" s="94" t="s">
        <v>219</v>
      </c>
      <c r="B1740" s="95" t="s">
        <v>185</v>
      </c>
      <c r="C1740" s="96">
        <v>1</v>
      </c>
      <c r="D1740" s="97">
        <v>200000</v>
      </c>
      <c r="E1740" s="98">
        <f>ROUND(C1740*D1740,0)</f>
        <v>200000</v>
      </c>
    </row>
    <row r="1741" spans="1:5">
      <c r="A1741" s="99"/>
      <c r="B1741" s="101">
        <f>+E1741/D1742</f>
        <v>3.0424835671659434E-2</v>
      </c>
      <c r="C1741" s="98"/>
      <c r="D1741" s="99" t="s">
        <v>209</v>
      </c>
      <c r="E1741" s="100">
        <f>SUM(E1740:E1740)</f>
        <v>200000</v>
      </c>
    </row>
    <row r="1742" spans="1:5">
      <c r="A1742" s="213" t="s">
        <v>215</v>
      </c>
      <c r="B1742" s="213"/>
      <c r="C1742" s="213"/>
      <c r="D1742" s="214">
        <f>+E1741+E1738+E1727+E1724</f>
        <v>6573577</v>
      </c>
      <c r="E1742" s="214"/>
    </row>
    <row r="1744" spans="1:5" ht="20.25">
      <c r="A1744" s="200" t="s">
        <v>216</v>
      </c>
      <c r="B1744" s="201"/>
      <c r="C1744" s="201"/>
      <c r="D1744" s="201"/>
      <c r="E1744" s="202"/>
    </row>
    <row r="1745" spans="1:5">
      <c r="A1745" s="203"/>
      <c r="B1745" s="204"/>
      <c r="C1745" s="205"/>
      <c r="D1745" s="90" t="s">
        <v>199</v>
      </c>
      <c r="E1745" s="90" t="s">
        <v>164</v>
      </c>
    </row>
    <row r="1746" spans="1:5">
      <c r="A1746" s="207" t="s">
        <v>457</v>
      </c>
      <c r="B1746" s="208"/>
      <c r="C1746" s="206"/>
      <c r="D1746" s="91" t="s">
        <v>501</v>
      </c>
      <c r="E1746" s="91" t="s">
        <v>189</v>
      </c>
    </row>
    <row r="1747" spans="1:5" ht="15.75">
      <c r="A1747" s="209" t="s">
        <v>200</v>
      </c>
      <c r="B1747" s="209"/>
      <c r="C1747" s="209"/>
      <c r="D1747" s="209"/>
      <c r="E1747" s="209"/>
    </row>
    <row r="1748" spans="1:5" ht="60" customHeight="1">
      <c r="A1748" s="210" t="s">
        <v>498</v>
      </c>
      <c r="B1748" s="211"/>
      <c r="C1748" s="211"/>
      <c r="D1748" s="211"/>
      <c r="E1748" s="212"/>
    </row>
    <row r="1749" spans="1:5">
      <c r="A1749" s="92" t="s">
        <v>201</v>
      </c>
      <c r="B1749" s="93" t="s">
        <v>164</v>
      </c>
      <c r="C1749" s="93" t="s">
        <v>2</v>
      </c>
      <c r="D1749" s="93" t="s">
        <v>202</v>
      </c>
      <c r="E1749" s="93" t="s">
        <v>203</v>
      </c>
    </row>
    <row r="1750" spans="1:5">
      <c r="A1750" s="94" t="s">
        <v>533</v>
      </c>
      <c r="B1750" s="95" t="s">
        <v>189</v>
      </c>
      <c r="C1750" s="96">
        <v>1</v>
      </c>
      <c r="D1750" s="97">
        <v>60000</v>
      </c>
      <c r="E1750" s="98">
        <f>ROUND(C1750*D1750,0)</f>
        <v>60000</v>
      </c>
    </row>
    <row r="1751" spans="1:5">
      <c r="A1751" s="94" t="s">
        <v>526</v>
      </c>
      <c r="B1751" s="95" t="s">
        <v>185</v>
      </c>
      <c r="C1751" s="96">
        <v>7.0000000000000007E-2</v>
      </c>
      <c r="D1751" s="97">
        <v>2000</v>
      </c>
      <c r="E1751" s="98">
        <f t="shared" ref="E1751:E1757" si="71">ROUND(C1751*D1751,0)</f>
        <v>140</v>
      </c>
    </row>
    <row r="1752" spans="1:5">
      <c r="A1752" s="94" t="s">
        <v>527</v>
      </c>
      <c r="B1752" s="95" t="s">
        <v>528</v>
      </c>
      <c r="C1752" s="96">
        <v>0.2</v>
      </c>
      <c r="D1752" s="97">
        <v>27365</v>
      </c>
      <c r="E1752" s="98">
        <f t="shared" si="71"/>
        <v>5473</v>
      </c>
    </row>
    <row r="1753" spans="1:5">
      <c r="A1753" s="94" t="s">
        <v>534</v>
      </c>
      <c r="B1753" s="95" t="s">
        <v>189</v>
      </c>
      <c r="C1753" s="96">
        <v>1</v>
      </c>
      <c r="D1753" s="97">
        <v>3332</v>
      </c>
      <c r="E1753" s="98">
        <f t="shared" si="71"/>
        <v>3332</v>
      </c>
    </row>
    <row r="1754" spans="1:5">
      <c r="A1754" s="94" t="s">
        <v>529</v>
      </c>
      <c r="B1754" s="95" t="s">
        <v>187</v>
      </c>
      <c r="C1754" s="96">
        <v>1</v>
      </c>
      <c r="D1754" s="97">
        <v>1883</v>
      </c>
      <c r="E1754" s="98">
        <f t="shared" si="71"/>
        <v>1883</v>
      </c>
    </row>
    <row r="1755" spans="1:5">
      <c r="A1755" s="94" t="s">
        <v>530</v>
      </c>
      <c r="B1755" s="95" t="s">
        <v>187</v>
      </c>
      <c r="C1755" s="96">
        <v>1</v>
      </c>
      <c r="D1755" s="97">
        <v>520</v>
      </c>
      <c r="E1755" s="98">
        <f t="shared" si="71"/>
        <v>520</v>
      </c>
    </row>
    <row r="1756" spans="1:5">
      <c r="A1756" s="94" t="s">
        <v>531</v>
      </c>
      <c r="B1756" s="95" t="s">
        <v>185</v>
      </c>
      <c r="C1756" s="96">
        <v>7.0000000000000007E-2</v>
      </c>
      <c r="D1756" s="97">
        <v>6664</v>
      </c>
      <c r="E1756" s="98">
        <f t="shared" si="71"/>
        <v>466</v>
      </c>
    </row>
    <row r="1757" spans="1:5">
      <c r="A1757" s="94" t="s">
        <v>532</v>
      </c>
      <c r="B1757" s="95" t="s">
        <v>185</v>
      </c>
      <c r="C1757" s="96">
        <v>1</v>
      </c>
      <c r="D1757" s="97">
        <v>2000</v>
      </c>
      <c r="E1757" s="98">
        <f t="shared" si="71"/>
        <v>2000</v>
      </c>
    </row>
    <row r="1758" spans="1:5">
      <c r="A1758" s="99"/>
      <c r="B1758" s="101">
        <f>+E1758/D1768</f>
        <v>0.78697777777777778</v>
      </c>
      <c r="C1758" s="98"/>
      <c r="D1758" s="99" t="s">
        <v>209</v>
      </c>
      <c r="E1758" s="100">
        <f>SUM(E1750:E1754)</f>
        <v>70828</v>
      </c>
    </row>
    <row r="1759" spans="1:5">
      <c r="A1759" s="92" t="s">
        <v>210</v>
      </c>
      <c r="B1759" s="93" t="s">
        <v>164</v>
      </c>
      <c r="C1759" s="93" t="s">
        <v>2</v>
      </c>
      <c r="D1759" s="93" t="s">
        <v>202</v>
      </c>
      <c r="E1759" s="93" t="s">
        <v>203</v>
      </c>
    </row>
    <row r="1760" spans="1:5">
      <c r="A1760" s="94" t="s">
        <v>247</v>
      </c>
      <c r="B1760" s="95" t="s">
        <v>212</v>
      </c>
      <c r="C1760" s="96">
        <v>7.7945E-2</v>
      </c>
      <c r="D1760" s="97">
        <v>171670</v>
      </c>
      <c r="E1760" s="98">
        <f>ROUND(C1760*D1760,0)</f>
        <v>13381</v>
      </c>
    </row>
    <row r="1761" spans="1:5">
      <c r="A1761" s="99"/>
      <c r="B1761" s="101">
        <f>+E1761/D1768</f>
        <v>0.14867777777777777</v>
      </c>
      <c r="C1761" s="98"/>
      <c r="D1761" s="99" t="s">
        <v>209</v>
      </c>
      <c r="E1761" s="100">
        <f>+E1760</f>
        <v>13381</v>
      </c>
    </row>
    <row r="1762" spans="1:5">
      <c r="A1762" s="92" t="s">
        <v>218</v>
      </c>
      <c r="B1762" s="93" t="s">
        <v>164</v>
      </c>
      <c r="C1762" s="93" t="s">
        <v>2</v>
      </c>
      <c r="D1762" s="93" t="s">
        <v>202</v>
      </c>
      <c r="E1762" s="93" t="s">
        <v>203</v>
      </c>
    </row>
    <row r="1763" spans="1:5">
      <c r="A1763" s="94" t="s">
        <v>213</v>
      </c>
      <c r="B1763" s="95" t="s">
        <v>214</v>
      </c>
      <c r="C1763" s="96">
        <v>0.05</v>
      </c>
      <c r="D1763" s="97">
        <f>+E1758</f>
        <v>70828</v>
      </c>
      <c r="E1763" s="98">
        <f>ROUND(C1763*D1763,0)</f>
        <v>3541</v>
      </c>
    </row>
    <row r="1764" spans="1:5">
      <c r="A1764" s="99"/>
      <c r="B1764" s="101">
        <f>+E1764/D1768</f>
        <v>3.9344444444444446E-2</v>
      </c>
      <c r="C1764" s="98"/>
      <c r="D1764" s="99" t="s">
        <v>209</v>
      </c>
      <c r="E1764" s="100">
        <f>SUM(E1763:E1763)</f>
        <v>3541</v>
      </c>
    </row>
    <row r="1765" spans="1:5">
      <c r="A1765" s="92" t="s">
        <v>219</v>
      </c>
      <c r="B1765" s="93" t="s">
        <v>164</v>
      </c>
      <c r="C1765" s="93" t="s">
        <v>2</v>
      </c>
      <c r="D1765" s="93" t="s">
        <v>202</v>
      </c>
      <c r="E1765" s="93" t="s">
        <v>203</v>
      </c>
    </row>
    <row r="1766" spans="1:5">
      <c r="A1766" s="94" t="s">
        <v>217</v>
      </c>
      <c r="B1766" s="95" t="s">
        <v>190</v>
      </c>
      <c r="C1766" s="96">
        <v>0.03</v>
      </c>
      <c r="D1766" s="97">
        <v>75000</v>
      </c>
      <c r="E1766" s="98">
        <f>ROUND(C1766*D1766,0)</f>
        <v>2250</v>
      </c>
    </row>
    <row r="1767" spans="1:5">
      <c r="A1767" s="99"/>
      <c r="B1767" s="101">
        <f>+E1767/D1768</f>
        <v>2.5000000000000001E-2</v>
      </c>
      <c r="C1767" s="98"/>
      <c r="D1767" s="99" t="s">
        <v>209</v>
      </c>
      <c r="E1767" s="100">
        <f>SUM(E1766:E1766)</f>
        <v>2250</v>
      </c>
    </row>
    <row r="1768" spans="1:5">
      <c r="A1768" s="213" t="s">
        <v>215</v>
      </c>
      <c r="B1768" s="213"/>
      <c r="C1768" s="213"/>
      <c r="D1768" s="214">
        <f>+E1767+E1764+E1761+E1758</f>
        <v>90000</v>
      </c>
      <c r="E1768" s="214"/>
    </row>
    <row r="1770" spans="1:5" ht="20.25">
      <c r="A1770" s="200" t="s">
        <v>216</v>
      </c>
      <c r="B1770" s="201"/>
      <c r="C1770" s="201"/>
      <c r="D1770" s="201"/>
      <c r="E1770" s="202"/>
    </row>
    <row r="1771" spans="1:5">
      <c r="A1771" s="203"/>
      <c r="B1771" s="204"/>
      <c r="C1771" s="205"/>
      <c r="D1771" s="90" t="s">
        <v>199</v>
      </c>
      <c r="E1771" s="90" t="s">
        <v>164</v>
      </c>
    </row>
    <row r="1772" spans="1:5">
      <c r="A1772" s="207" t="s">
        <v>457</v>
      </c>
      <c r="B1772" s="208"/>
      <c r="C1772" s="206"/>
      <c r="D1772" s="91" t="s">
        <v>502</v>
      </c>
      <c r="E1772" s="91" t="s">
        <v>189</v>
      </c>
    </row>
    <row r="1773" spans="1:5" ht="15.75">
      <c r="A1773" s="209" t="s">
        <v>200</v>
      </c>
      <c r="B1773" s="209"/>
      <c r="C1773" s="209"/>
      <c r="D1773" s="209"/>
      <c r="E1773" s="209"/>
    </row>
    <row r="1774" spans="1:5" ht="42.6" customHeight="1">
      <c r="A1774" s="210" t="s">
        <v>499</v>
      </c>
      <c r="B1774" s="211"/>
      <c r="C1774" s="211"/>
      <c r="D1774" s="211"/>
      <c r="E1774" s="212"/>
    </row>
    <row r="1775" spans="1:5">
      <c r="A1775" s="92" t="s">
        <v>201</v>
      </c>
      <c r="B1775" s="93" t="s">
        <v>164</v>
      </c>
      <c r="C1775" s="93" t="s">
        <v>2</v>
      </c>
      <c r="D1775" s="93" t="s">
        <v>202</v>
      </c>
      <c r="E1775" s="93" t="s">
        <v>203</v>
      </c>
    </row>
    <row r="1776" spans="1:5">
      <c r="A1776" s="94" t="s">
        <v>535</v>
      </c>
      <c r="B1776" s="95" t="s">
        <v>189</v>
      </c>
      <c r="C1776" s="96">
        <v>1</v>
      </c>
      <c r="D1776" s="97">
        <v>50000</v>
      </c>
      <c r="E1776" s="98">
        <f>ROUND(C1776*D1776,0)</f>
        <v>50000</v>
      </c>
    </row>
    <row r="1777" spans="1:5">
      <c r="A1777" s="94" t="s">
        <v>526</v>
      </c>
      <c r="B1777" s="95" t="s">
        <v>185</v>
      </c>
      <c r="C1777" s="96">
        <v>7.0000000000000007E-2</v>
      </c>
      <c r="D1777" s="97">
        <v>2000</v>
      </c>
      <c r="E1777" s="98">
        <f t="shared" ref="E1777:E1783" si="72">ROUND(C1777*D1777,0)</f>
        <v>140</v>
      </c>
    </row>
    <row r="1778" spans="1:5">
      <c r="A1778" s="94" t="s">
        <v>527</v>
      </c>
      <c r="B1778" s="95" t="s">
        <v>528</v>
      </c>
      <c r="C1778" s="96">
        <v>0.2</v>
      </c>
      <c r="D1778" s="97">
        <v>27365</v>
      </c>
      <c r="E1778" s="98">
        <f t="shared" si="72"/>
        <v>5473</v>
      </c>
    </row>
    <row r="1779" spans="1:5">
      <c r="A1779" s="94" t="s">
        <v>534</v>
      </c>
      <c r="B1779" s="95" t="s">
        <v>189</v>
      </c>
      <c r="C1779" s="96">
        <v>1</v>
      </c>
      <c r="D1779" s="97">
        <v>3332</v>
      </c>
      <c r="E1779" s="98">
        <f t="shared" si="72"/>
        <v>3332</v>
      </c>
    </row>
    <row r="1780" spans="1:5">
      <c r="A1780" s="94" t="s">
        <v>529</v>
      </c>
      <c r="B1780" s="95" t="s">
        <v>187</v>
      </c>
      <c r="C1780" s="96">
        <v>1</v>
      </c>
      <c r="D1780" s="97">
        <v>1883</v>
      </c>
      <c r="E1780" s="98">
        <f t="shared" si="72"/>
        <v>1883</v>
      </c>
    </row>
    <row r="1781" spans="1:5">
      <c r="A1781" s="94" t="s">
        <v>530</v>
      </c>
      <c r="B1781" s="95" t="s">
        <v>187</v>
      </c>
      <c r="C1781" s="96">
        <v>1</v>
      </c>
      <c r="D1781" s="97">
        <v>520</v>
      </c>
      <c r="E1781" s="98">
        <f t="shared" si="72"/>
        <v>520</v>
      </c>
    </row>
    <row r="1782" spans="1:5">
      <c r="A1782" s="94" t="s">
        <v>531</v>
      </c>
      <c r="B1782" s="95" t="s">
        <v>185</v>
      </c>
      <c r="C1782" s="96">
        <v>7.0000000000000007E-2</v>
      </c>
      <c r="D1782" s="97">
        <v>6664</v>
      </c>
      <c r="E1782" s="98">
        <f t="shared" si="72"/>
        <v>466</v>
      </c>
    </row>
    <row r="1783" spans="1:5">
      <c r="A1783" s="94" t="s">
        <v>532</v>
      </c>
      <c r="B1783" s="95" t="s">
        <v>185</v>
      </c>
      <c r="C1783" s="96">
        <v>1</v>
      </c>
      <c r="D1783" s="97">
        <v>2000</v>
      </c>
      <c r="E1783" s="98">
        <f t="shared" si="72"/>
        <v>2000</v>
      </c>
    </row>
    <row r="1784" spans="1:5">
      <c r="A1784" s="99"/>
      <c r="B1784" s="101">
        <f>+E1784/D1794</f>
        <v>0.76034999999999997</v>
      </c>
      <c r="C1784" s="98"/>
      <c r="D1784" s="99" t="s">
        <v>209</v>
      </c>
      <c r="E1784" s="100">
        <f>SUM(E1776:E1780)</f>
        <v>60828</v>
      </c>
    </row>
    <row r="1785" spans="1:5">
      <c r="A1785" s="92" t="s">
        <v>210</v>
      </c>
      <c r="B1785" s="93" t="s">
        <v>164</v>
      </c>
      <c r="C1785" s="93" t="s">
        <v>2</v>
      </c>
      <c r="D1785" s="93" t="s">
        <v>202</v>
      </c>
      <c r="E1785" s="93" t="s">
        <v>203</v>
      </c>
    </row>
    <row r="1786" spans="1:5">
      <c r="A1786" s="94" t="s">
        <v>247</v>
      </c>
      <c r="B1786" s="95" t="s">
        <v>212</v>
      </c>
      <c r="C1786" s="96">
        <v>8.0860000000000001E-2</v>
      </c>
      <c r="D1786" s="97">
        <v>171670</v>
      </c>
      <c r="E1786" s="98">
        <f>ROUND(C1786*D1786,0)</f>
        <v>13881</v>
      </c>
    </row>
    <row r="1787" spans="1:5">
      <c r="A1787" s="99"/>
      <c r="B1787" s="101">
        <f>+E1787/D1794</f>
        <v>0.17351249999999999</v>
      </c>
      <c r="C1787" s="98"/>
      <c r="D1787" s="99" t="s">
        <v>209</v>
      </c>
      <c r="E1787" s="100">
        <f>+E1786</f>
        <v>13881</v>
      </c>
    </row>
    <row r="1788" spans="1:5">
      <c r="A1788" s="92" t="s">
        <v>218</v>
      </c>
      <c r="B1788" s="93" t="s">
        <v>164</v>
      </c>
      <c r="C1788" s="93" t="s">
        <v>2</v>
      </c>
      <c r="D1788" s="93" t="s">
        <v>202</v>
      </c>
      <c r="E1788" s="93" t="s">
        <v>203</v>
      </c>
    </row>
    <row r="1789" spans="1:5">
      <c r="A1789" s="94" t="s">
        <v>213</v>
      </c>
      <c r="B1789" s="95" t="s">
        <v>214</v>
      </c>
      <c r="C1789" s="96">
        <v>0.05</v>
      </c>
      <c r="D1789" s="97">
        <f>+E1784</f>
        <v>60828</v>
      </c>
      <c r="E1789" s="98">
        <f>ROUND(C1789*D1789,0)</f>
        <v>3041</v>
      </c>
    </row>
    <row r="1790" spans="1:5">
      <c r="A1790" s="99"/>
      <c r="B1790" s="101">
        <f>+E1790/D1794</f>
        <v>3.8012499999999998E-2</v>
      </c>
      <c r="C1790" s="98"/>
      <c r="D1790" s="99" t="s">
        <v>209</v>
      </c>
      <c r="E1790" s="100">
        <f>SUM(E1789:E1789)</f>
        <v>3041</v>
      </c>
    </row>
    <row r="1791" spans="1:5">
      <c r="A1791" s="92" t="s">
        <v>219</v>
      </c>
      <c r="B1791" s="93" t="s">
        <v>164</v>
      </c>
      <c r="C1791" s="93" t="s">
        <v>2</v>
      </c>
      <c r="D1791" s="93" t="s">
        <v>202</v>
      </c>
      <c r="E1791" s="93" t="s">
        <v>203</v>
      </c>
    </row>
    <row r="1792" spans="1:5">
      <c r="A1792" s="94" t="s">
        <v>217</v>
      </c>
      <c r="B1792" s="95" t="s">
        <v>190</v>
      </c>
      <c r="C1792" s="96">
        <v>0.03</v>
      </c>
      <c r="D1792" s="97">
        <v>75000</v>
      </c>
      <c r="E1792" s="98">
        <f>ROUND(C1792*D1792,0)</f>
        <v>2250</v>
      </c>
    </row>
    <row r="1793" spans="1:5">
      <c r="A1793" s="99"/>
      <c r="B1793" s="101">
        <f>+E1793/D1794</f>
        <v>2.8125000000000001E-2</v>
      </c>
      <c r="C1793" s="98"/>
      <c r="D1793" s="99" t="s">
        <v>209</v>
      </c>
      <c r="E1793" s="100">
        <f>SUM(E1792:E1792)</f>
        <v>2250</v>
      </c>
    </row>
    <row r="1794" spans="1:5">
      <c r="A1794" s="213" t="s">
        <v>215</v>
      </c>
      <c r="B1794" s="213"/>
      <c r="C1794" s="213"/>
      <c r="D1794" s="214">
        <f>+E1793+E1790+E1787+E1784</f>
        <v>80000</v>
      </c>
      <c r="E1794" s="214"/>
    </row>
    <row r="1796" spans="1:5" ht="20.25">
      <c r="A1796" s="200" t="s">
        <v>216</v>
      </c>
      <c r="B1796" s="201"/>
      <c r="C1796" s="201"/>
      <c r="D1796" s="201"/>
      <c r="E1796" s="202"/>
    </row>
    <row r="1797" spans="1:5">
      <c r="A1797" s="203"/>
      <c r="B1797" s="204"/>
      <c r="C1797" s="205"/>
      <c r="D1797" s="90" t="s">
        <v>199</v>
      </c>
      <c r="E1797" s="90" t="s">
        <v>164</v>
      </c>
    </row>
    <row r="1798" spans="1:5">
      <c r="A1798" s="207" t="s">
        <v>457</v>
      </c>
      <c r="B1798" s="208"/>
      <c r="C1798" s="206"/>
      <c r="D1798" s="91" t="s">
        <v>508</v>
      </c>
      <c r="E1798" s="91" t="s">
        <v>186</v>
      </c>
    </row>
    <row r="1799" spans="1:5" ht="15.75">
      <c r="A1799" s="209" t="s">
        <v>200</v>
      </c>
      <c r="B1799" s="209"/>
      <c r="C1799" s="209"/>
      <c r="D1799" s="209"/>
      <c r="E1799" s="209"/>
    </row>
    <row r="1800" spans="1:5" ht="54" customHeight="1">
      <c r="A1800" s="210" t="s">
        <v>506</v>
      </c>
      <c r="B1800" s="211"/>
      <c r="C1800" s="211"/>
      <c r="D1800" s="211"/>
      <c r="E1800" s="212"/>
    </row>
    <row r="1801" spans="1:5">
      <c r="A1801" s="92" t="s">
        <v>201</v>
      </c>
      <c r="B1801" s="93" t="s">
        <v>164</v>
      </c>
      <c r="C1801" s="93" t="s">
        <v>2</v>
      </c>
      <c r="D1801" s="93" t="s">
        <v>202</v>
      </c>
      <c r="E1801" s="93" t="s">
        <v>203</v>
      </c>
    </row>
    <row r="1802" spans="1:5">
      <c r="A1802" s="94" t="s">
        <v>548</v>
      </c>
      <c r="B1802" s="95" t="s">
        <v>186</v>
      </c>
      <c r="C1802" s="96">
        <v>1.05</v>
      </c>
      <c r="D1802" s="97">
        <v>115000</v>
      </c>
      <c r="E1802" s="128">
        <f t="shared" ref="E1802" si="73">ROUND(C1802*D1802,0)</f>
        <v>120750</v>
      </c>
    </row>
    <row r="1803" spans="1:5">
      <c r="A1803" s="99"/>
      <c r="B1803" s="101">
        <f>+E1803/D1813</f>
        <v>0.67083333333333328</v>
      </c>
      <c r="C1803" s="98"/>
      <c r="D1803" s="99" t="s">
        <v>209</v>
      </c>
      <c r="E1803" s="100">
        <f>SUM(E1802:E1802)</f>
        <v>120750</v>
      </c>
    </row>
    <row r="1804" spans="1:5">
      <c r="A1804" s="92" t="s">
        <v>210</v>
      </c>
      <c r="B1804" s="93" t="s">
        <v>164</v>
      </c>
      <c r="C1804" s="93" t="s">
        <v>2</v>
      </c>
      <c r="D1804" s="93" t="s">
        <v>202</v>
      </c>
      <c r="E1804" s="93" t="s">
        <v>203</v>
      </c>
    </row>
    <row r="1805" spans="1:5">
      <c r="A1805" s="94" t="s">
        <v>247</v>
      </c>
      <c r="B1805" s="95" t="s">
        <v>212</v>
      </c>
      <c r="C1805" s="96">
        <v>0.30559999999999998</v>
      </c>
      <c r="D1805" s="97">
        <v>171670</v>
      </c>
      <c r="E1805" s="98">
        <f>ROUND(C1805*D1805,0)</f>
        <v>52462</v>
      </c>
    </row>
    <row r="1806" spans="1:5">
      <c r="A1806" s="99"/>
      <c r="B1806" s="101">
        <f>+E1806/D1813</f>
        <v>0.29145555555555558</v>
      </c>
      <c r="C1806" s="98"/>
      <c r="D1806" s="99" t="s">
        <v>209</v>
      </c>
      <c r="E1806" s="100">
        <f>+E1805</f>
        <v>52462</v>
      </c>
    </row>
    <row r="1807" spans="1:5">
      <c r="A1807" s="92" t="s">
        <v>218</v>
      </c>
      <c r="B1807" s="93" t="s">
        <v>164</v>
      </c>
      <c r="C1807" s="93" t="s">
        <v>2</v>
      </c>
      <c r="D1807" s="93" t="s">
        <v>202</v>
      </c>
      <c r="E1807" s="93" t="s">
        <v>203</v>
      </c>
    </row>
    <row r="1808" spans="1:5">
      <c r="A1808" s="94" t="s">
        <v>213</v>
      </c>
      <c r="B1808" s="95" t="s">
        <v>214</v>
      </c>
      <c r="C1808" s="96">
        <v>0.05</v>
      </c>
      <c r="D1808" s="97">
        <f>+E1803</f>
        <v>120750</v>
      </c>
      <c r="E1808" s="98">
        <f>ROUND(C1808*D1808,0)</f>
        <v>6038</v>
      </c>
    </row>
    <row r="1809" spans="1:5">
      <c r="A1809" s="99"/>
      <c r="B1809" s="101">
        <f>+E1809/D1813</f>
        <v>3.3544444444444446E-2</v>
      </c>
      <c r="C1809" s="98"/>
      <c r="D1809" s="99" t="s">
        <v>209</v>
      </c>
      <c r="E1809" s="100">
        <f>SUM(E1808:E1808)</f>
        <v>6038</v>
      </c>
    </row>
    <row r="1810" spans="1:5">
      <c r="A1810" s="92" t="s">
        <v>219</v>
      </c>
      <c r="B1810" s="93" t="s">
        <v>164</v>
      </c>
      <c r="C1810" s="93" t="s">
        <v>2</v>
      </c>
      <c r="D1810" s="93" t="s">
        <v>202</v>
      </c>
      <c r="E1810" s="93" t="s">
        <v>203</v>
      </c>
    </row>
    <row r="1811" spans="1:5">
      <c r="A1811" s="94" t="s">
        <v>217</v>
      </c>
      <c r="B1811" s="95" t="s">
        <v>190</v>
      </c>
      <c r="C1811" s="96">
        <v>0.01</v>
      </c>
      <c r="D1811" s="97">
        <v>75000</v>
      </c>
      <c r="E1811" s="98">
        <f>ROUND(C1811*D1811,0)</f>
        <v>750</v>
      </c>
    </row>
    <row r="1812" spans="1:5">
      <c r="A1812" s="99"/>
      <c r="B1812" s="101">
        <f>+E1812/D1813</f>
        <v>4.1666666666666666E-3</v>
      </c>
      <c r="C1812" s="98"/>
      <c r="D1812" s="99" t="s">
        <v>209</v>
      </c>
      <c r="E1812" s="100">
        <f>SUM(E1811:E1811)</f>
        <v>750</v>
      </c>
    </row>
    <row r="1813" spans="1:5">
      <c r="A1813" s="213" t="s">
        <v>215</v>
      </c>
      <c r="B1813" s="213"/>
      <c r="C1813" s="213"/>
      <c r="D1813" s="214">
        <f>+E1812+E1809+E1806+E1803</f>
        <v>180000</v>
      </c>
      <c r="E1813" s="214"/>
    </row>
    <row r="1815" spans="1:5" ht="20.25">
      <c r="A1815" s="200" t="s">
        <v>216</v>
      </c>
      <c r="B1815" s="201"/>
      <c r="C1815" s="201"/>
      <c r="D1815" s="201"/>
      <c r="E1815" s="202"/>
    </row>
    <row r="1816" spans="1:5">
      <c r="A1816" s="203"/>
      <c r="B1816" s="204"/>
      <c r="C1816" s="205"/>
      <c r="D1816" s="90" t="s">
        <v>199</v>
      </c>
      <c r="E1816" s="90" t="s">
        <v>164</v>
      </c>
    </row>
    <row r="1817" spans="1:5">
      <c r="A1817" s="207" t="s">
        <v>457</v>
      </c>
      <c r="B1817" s="208"/>
      <c r="C1817" s="206"/>
      <c r="D1817" s="91" t="s">
        <v>509</v>
      </c>
      <c r="E1817" s="91" t="s">
        <v>190</v>
      </c>
    </row>
    <row r="1818" spans="1:5" ht="15.75">
      <c r="A1818" s="209" t="s">
        <v>200</v>
      </c>
      <c r="B1818" s="209"/>
      <c r="C1818" s="209"/>
      <c r="D1818" s="209"/>
      <c r="E1818" s="209"/>
    </row>
    <row r="1819" spans="1:5" ht="43.15" customHeight="1">
      <c r="A1819" s="210" t="s">
        <v>507</v>
      </c>
      <c r="B1819" s="211"/>
      <c r="C1819" s="211"/>
      <c r="D1819" s="211"/>
      <c r="E1819" s="212"/>
    </row>
    <row r="1820" spans="1:5">
      <c r="A1820" s="92" t="s">
        <v>201</v>
      </c>
      <c r="B1820" s="93" t="s">
        <v>164</v>
      </c>
      <c r="C1820" s="93" t="s">
        <v>2</v>
      </c>
      <c r="D1820" s="93" t="s">
        <v>202</v>
      </c>
      <c r="E1820" s="93" t="s">
        <v>203</v>
      </c>
    </row>
    <row r="1821" spans="1:5">
      <c r="A1821" s="94" t="s">
        <v>536</v>
      </c>
      <c r="B1821" s="95" t="s">
        <v>505</v>
      </c>
      <c r="C1821" s="96">
        <v>1</v>
      </c>
      <c r="D1821" s="97">
        <v>21000</v>
      </c>
      <c r="E1821" s="128">
        <f>ROUND(C1821*D1821,0)</f>
        <v>21000</v>
      </c>
    </row>
    <row r="1822" spans="1:5">
      <c r="A1822" s="94" t="s">
        <v>537</v>
      </c>
      <c r="B1822" s="95" t="s">
        <v>538</v>
      </c>
      <c r="C1822" s="96">
        <v>1</v>
      </c>
      <c r="D1822" s="97">
        <v>100</v>
      </c>
      <c r="E1822" s="128">
        <f t="shared" ref="E1822:E1825" si="74">ROUND(C1822*D1822,0)</f>
        <v>100</v>
      </c>
    </row>
    <row r="1823" spans="1:5">
      <c r="A1823" s="94" t="s">
        <v>539</v>
      </c>
      <c r="B1823" s="95" t="s">
        <v>538</v>
      </c>
      <c r="C1823" s="96">
        <v>1</v>
      </c>
      <c r="D1823" s="97">
        <v>1350</v>
      </c>
      <c r="E1823" s="128">
        <f t="shared" si="74"/>
        <v>1350</v>
      </c>
    </row>
    <row r="1824" spans="1:5">
      <c r="A1824" s="94" t="s">
        <v>540</v>
      </c>
      <c r="B1824" s="95" t="s">
        <v>187</v>
      </c>
      <c r="C1824" s="96">
        <v>1</v>
      </c>
      <c r="D1824" s="97">
        <v>1040</v>
      </c>
      <c r="E1824" s="128">
        <f t="shared" si="74"/>
        <v>1040</v>
      </c>
    </row>
    <row r="1825" spans="1:5">
      <c r="A1825" s="94" t="s">
        <v>541</v>
      </c>
      <c r="B1825" s="95" t="s">
        <v>185</v>
      </c>
      <c r="C1825" s="96">
        <v>1</v>
      </c>
      <c r="D1825" s="97">
        <v>5500</v>
      </c>
      <c r="E1825" s="128">
        <f t="shared" si="74"/>
        <v>5500</v>
      </c>
    </row>
    <row r="1826" spans="1:5">
      <c r="A1826" s="99"/>
      <c r="B1826" s="101">
        <f>+E1826/D1836</f>
        <v>0.64422222222222225</v>
      </c>
      <c r="C1826" s="98"/>
      <c r="D1826" s="99" t="s">
        <v>209</v>
      </c>
      <c r="E1826" s="100">
        <f>SUM(E1821:E1825)</f>
        <v>28990</v>
      </c>
    </row>
    <row r="1827" spans="1:5">
      <c r="A1827" s="92" t="s">
        <v>210</v>
      </c>
      <c r="B1827" s="93" t="s">
        <v>164</v>
      </c>
      <c r="C1827" s="93" t="s">
        <v>2</v>
      </c>
      <c r="D1827" s="93" t="s">
        <v>202</v>
      </c>
      <c r="E1827" s="93" t="s">
        <v>203</v>
      </c>
    </row>
    <row r="1828" spans="1:5">
      <c r="A1828" s="94" t="s">
        <v>247</v>
      </c>
      <c r="B1828" s="95" t="s">
        <v>212</v>
      </c>
      <c r="C1828" s="96">
        <v>7.1709999999999996E-2</v>
      </c>
      <c r="D1828" s="97">
        <v>171670</v>
      </c>
      <c r="E1828" s="98">
        <f>ROUND(C1828*D1828,0)</f>
        <v>12310</v>
      </c>
    </row>
    <row r="1829" spans="1:5">
      <c r="A1829" s="99"/>
      <c r="B1829" s="101">
        <f>+E1829/D1836</f>
        <v>0.27355555555555555</v>
      </c>
      <c r="C1829" s="98"/>
      <c r="D1829" s="99" t="s">
        <v>209</v>
      </c>
      <c r="E1829" s="100">
        <f>+E1828</f>
        <v>12310</v>
      </c>
    </row>
    <row r="1830" spans="1:5">
      <c r="A1830" s="92" t="s">
        <v>218</v>
      </c>
      <c r="B1830" s="93" t="s">
        <v>164</v>
      </c>
      <c r="C1830" s="93" t="s">
        <v>2</v>
      </c>
      <c r="D1830" s="93" t="s">
        <v>202</v>
      </c>
      <c r="E1830" s="93" t="s">
        <v>203</v>
      </c>
    </row>
    <row r="1831" spans="1:5">
      <c r="A1831" s="94" t="s">
        <v>213</v>
      </c>
      <c r="B1831" s="95" t="s">
        <v>214</v>
      </c>
      <c r="C1831" s="96">
        <v>0.05</v>
      </c>
      <c r="D1831" s="97">
        <f>+E1826</f>
        <v>28990</v>
      </c>
      <c r="E1831" s="98">
        <f>ROUND(C1831*D1831,0)</f>
        <v>1450</v>
      </c>
    </row>
    <row r="1832" spans="1:5">
      <c r="A1832" s="99"/>
      <c r="B1832" s="101">
        <f>+E1832/D1836</f>
        <v>3.2222222222222222E-2</v>
      </c>
      <c r="C1832" s="98"/>
      <c r="D1832" s="99" t="s">
        <v>209</v>
      </c>
      <c r="E1832" s="100">
        <f>SUM(E1831:E1831)</f>
        <v>1450</v>
      </c>
    </row>
    <row r="1833" spans="1:5">
      <c r="A1833" s="92" t="s">
        <v>219</v>
      </c>
      <c r="B1833" s="93" t="s">
        <v>164</v>
      </c>
      <c r="C1833" s="93" t="s">
        <v>2</v>
      </c>
      <c r="D1833" s="93" t="s">
        <v>202</v>
      </c>
      <c r="E1833" s="93" t="s">
        <v>203</v>
      </c>
    </row>
    <row r="1834" spans="1:5">
      <c r="A1834" s="94" t="s">
        <v>217</v>
      </c>
      <c r="B1834" s="95" t="s">
        <v>190</v>
      </c>
      <c r="C1834" s="96">
        <v>0.03</v>
      </c>
      <c r="D1834" s="97">
        <v>75000</v>
      </c>
      <c r="E1834" s="98">
        <f>ROUND(C1834*D1834,0)</f>
        <v>2250</v>
      </c>
    </row>
    <row r="1835" spans="1:5">
      <c r="A1835" s="99"/>
      <c r="B1835" s="101">
        <f>+E1835/D1836</f>
        <v>0.05</v>
      </c>
      <c r="C1835" s="98"/>
      <c r="D1835" s="99" t="s">
        <v>209</v>
      </c>
      <c r="E1835" s="100">
        <f>SUM(E1834:E1834)</f>
        <v>2250</v>
      </c>
    </row>
    <row r="1836" spans="1:5">
      <c r="A1836" s="213" t="s">
        <v>215</v>
      </c>
      <c r="B1836" s="213"/>
      <c r="C1836" s="213"/>
      <c r="D1836" s="214">
        <f>+E1835+E1832+E1829+E1826</f>
        <v>45000</v>
      </c>
      <c r="E1836" s="214"/>
    </row>
    <row r="1838" spans="1:5" ht="20.25">
      <c r="A1838" s="200" t="s">
        <v>216</v>
      </c>
      <c r="B1838" s="201"/>
      <c r="C1838" s="201"/>
      <c r="D1838" s="201"/>
      <c r="E1838" s="202"/>
    </row>
    <row r="1839" spans="1:5">
      <c r="A1839" s="203"/>
      <c r="B1839" s="204"/>
      <c r="C1839" s="205"/>
      <c r="D1839" s="90" t="s">
        <v>199</v>
      </c>
      <c r="E1839" s="90" t="s">
        <v>164</v>
      </c>
    </row>
    <row r="1840" spans="1:5">
      <c r="A1840" s="207" t="s">
        <v>457</v>
      </c>
      <c r="B1840" s="208"/>
      <c r="C1840" s="206"/>
      <c r="D1840" s="91" t="s">
        <v>514</v>
      </c>
      <c r="E1840" s="91" t="s">
        <v>164</v>
      </c>
    </row>
    <row r="1841" spans="1:5" ht="15.75">
      <c r="A1841" s="209" t="s">
        <v>200</v>
      </c>
      <c r="B1841" s="209"/>
      <c r="C1841" s="209"/>
      <c r="D1841" s="209"/>
      <c r="E1841" s="209"/>
    </row>
    <row r="1842" spans="1:5" ht="44.25" customHeight="1">
      <c r="A1842" s="210" t="s">
        <v>512</v>
      </c>
      <c r="B1842" s="211"/>
      <c r="C1842" s="211"/>
      <c r="D1842" s="211"/>
      <c r="E1842" s="212"/>
    </row>
    <row r="1843" spans="1:5">
      <c r="A1843" s="92" t="s">
        <v>201</v>
      </c>
      <c r="B1843" s="93" t="s">
        <v>164</v>
      </c>
      <c r="C1843" s="93" t="s">
        <v>2</v>
      </c>
      <c r="D1843" s="93" t="s">
        <v>202</v>
      </c>
      <c r="E1843" s="93" t="s">
        <v>203</v>
      </c>
    </row>
    <row r="1844" spans="1:5">
      <c r="A1844" s="94" t="s">
        <v>542</v>
      </c>
      <c r="B1844" s="95" t="s">
        <v>543</v>
      </c>
      <c r="C1844" s="96">
        <v>1</v>
      </c>
      <c r="D1844" s="97">
        <v>110000</v>
      </c>
      <c r="E1844" s="128">
        <f>ROUND(C1844*D1844,0)</f>
        <v>110000</v>
      </c>
    </row>
    <row r="1845" spans="1:5">
      <c r="A1845" s="94" t="s">
        <v>544</v>
      </c>
      <c r="B1845" s="95" t="s">
        <v>505</v>
      </c>
      <c r="C1845" s="96">
        <v>0.125</v>
      </c>
      <c r="D1845" s="97">
        <v>8625</v>
      </c>
      <c r="E1845" s="128">
        <f t="shared" ref="E1845" si="75">ROUND(C1845*D1845,0)</f>
        <v>1078</v>
      </c>
    </row>
    <row r="1846" spans="1:5">
      <c r="A1846" s="99"/>
      <c r="B1846" s="101">
        <f>+E1846/D1856</f>
        <v>0.71663225806451614</v>
      </c>
      <c r="C1846" s="98"/>
      <c r="D1846" s="99" t="s">
        <v>209</v>
      </c>
      <c r="E1846" s="100">
        <f>SUM(E1844:E1845)</f>
        <v>111078</v>
      </c>
    </row>
    <row r="1847" spans="1:5">
      <c r="A1847" s="92" t="s">
        <v>210</v>
      </c>
      <c r="B1847" s="93" t="s">
        <v>164</v>
      </c>
      <c r="C1847" s="93" t="s">
        <v>2</v>
      </c>
      <c r="D1847" s="93" t="s">
        <v>202</v>
      </c>
      <c r="E1847" s="93" t="s">
        <v>203</v>
      </c>
    </row>
    <row r="1848" spans="1:5">
      <c r="A1848" s="94" t="s">
        <v>247</v>
      </c>
      <c r="B1848" s="95" t="s">
        <v>212</v>
      </c>
      <c r="C1848" s="96">
        <v>0.21038999999999999</v>
      </c>
      <c r="D1848" s="97">
        <v>171670</v>
      </c>
      <c r="E1848" s="98">
        <f>ROUND(C1848*D1848,0)</f>
        <v>36118</v>
      </c>
    </row>
    <row r="1849" spans="1:5">
      <c r="A1849" s="99"/>
      <c r="B1849" s="101">
        <f>+E1849/D1856</f>
        <v>0.23301935483870967</v>
      </c>
      <c r="C1849" s="98"/>
      <c r="D1849" s="99" t="s">
        <v>209</v>
      </c>
      <c r="E1849" s="100">
        <f>+E1848</f>
        <v>36118</v>
      </c>
    </row>
    <row r="1850" spans="1:5">
      <c r="A1850" s="92" t="s">
        <v>218</v>
      </c>
      <c r="B1850" s="93" t="s">
        <v>164</v>
      </c>
      <c r="C1850" s="93" t="s">
        <v>2</v>
      </c>
      <c r="D1850" s="93" t="s">
        <v>202</v>
      </c>
      <c r="E1850" s="93" t="s">
        <v>203</v>
      </c>
    </row>
    <row r="1851" spans="1:5">
      <c r="A1851" s="94" t="s">
        <v>213</v>
      </c>
      <c r="B1851" s="95" t="s">
        <v>214</v>
      </c>
      <c r="C1851" s="96">
        <v>0.05</v>
      </c>
      <c r="D1851" s="97">
        <f>+E1846</f>
        <v>111078</v>
      </c>
      <c r="E1851" s="98">
        <f>ROUND(C1851*D1851,0)</f>
        <v>5554</v>
      </c>
    </row>
    <row r="1852" spans="1:5">
      <c r="A1852" s="99"/>
      <c r="B1852" s="101">
        <f>+E1852/D1856</f>
        <v>3.5832258064516127E-2</v>
      </c>
      <c r="C1852" s="98"/>
      <c r="D1852" s="99" t="s">
        <v>209</v>
      </c>
      <c r="E1852" s="100">
        <f>SUM(E1851:E1851)</f>
        <v>5554</v>
      </c>
    </row>
    <row r="1853" spans="1:5">
      <c r="A1853" s="92" t="s">
        <v>219</v>
      </c>
      <c r="B1853" s="93" t="s">
        <v>164</v>
      </c>
      <c r="C1853" s="93" t="s">
        <v>2</v>
      </c>
      <c r="D1853" s="93" t="s">
        <v>202</v>
      </c>
      <c r="E1853" s="93" t="s">
        <v>203</v>
      </c>
    </row>
    <row r="1854" spans="1:5">
      <c r="A1854" s="94" t="s">
        <v>217</v>
      </c>
      <c r="B1854" s="95" t="s">
        <v>190</v>
      </c>
      <c r="C1854" s="96">
        <v>0.03</v>
      </c>
      <c r="D1854" s="97">
        <v>75000</v>
      </c>
      <c r="E1854" s="98">
        <f>ROUND(C1854*D1854,0)</f>
        <v>2250</v>
      </c>
    </row>
    <row r="1855" spans="1:5">
      <c r="A1855" s="99"/>
      <c r="B1855" s="101">
        <f>+E1855/D1856</f>
        <v>1.4516129032258065E-2</v>
      </c>
      <c r="C1855" s="98"/>
      <c r="D1855" s="99" t="s">
        <v>209</v>
      </c>
      <c r="E1855" s="100">
        <f>SUM(E1854:E1854)</f>
        <v>2250</v>
      </c>
    </row>
    <row r="1856" spans="1:5">
      <c r="A1856" s="213" t="s">
        <v>215</v>
      </c>
      <c r="B1856" s="213"/>
      <c r="C1856" s="213"/>
      <c r="D1856" s="214">
        <f>+E1855+E1852+E1849+E1846</f>
        <v>155000</v>
      </c>
      <c r="E1856" s="214"/>
    </row>
    <row r="1858" spans="1:5" ht="20.25">
      <c r="A1858" s="200" t="s">
        <v>216</v>
      </c>
      <c r="B1858" s="201"/>
      <c r="C1858" s="201"/>
      <c r="D1858" s="201"/>
      <c r="E1858" s="202"/>
    </row>
    <row r="1859" spans="1:5">
      <c r="A1859" s="203"/>
      <c r="B1859" s="204"/>
      <c r="C1859" s="205"/>
      <c r="D1859" s="90" t="s">
        <v>199</v>
      </c>
      <c r="E1859" s="90" t="s">
        <v>164</v>
      </c>
    </row>
    <row r="1860" spans="1:5">
      <c r="A1860" s="207" t="s">
        <v>457</v>
      </c>
      <c r="B1860" s="208"/>
      <c r="C1860" s="206"/>
      <c r="D1860" s="91" t="s">
        <v>515</v>
      </c>
      <c r="E1860" s="91" t="s">
        <v>164</v>
      </c>
    </row>
    <row r="1861" spans="1:5" ht="15.75">
      <c r="A1861" s="209" t="s">
        <v>200</v>
      </c>
      <c r="B1861" s="209"/>
      <c r="C1861" s="209"/>
      <c r="D1861" s="209"/>
      <c r="E1861" s="209"/>
    </row>
    <row r="1862" spans="1:5" ht="43.9" customHeight="1">
      <c r="A1862" s="210" t="s">
        <v>513</v>
      </c>
      <c r="B1862" s="211"/>
      <c r="C1862" s="211"/>
      <c r="D1862" s="211"/>
      <c r="E1862" s="212"/>
    </row>
    <row r="1863" spans="1:5">
      <c r="A1863" s="92" t="s">
        <v>201</v>
      </c>
      <c r="B1863" s="93" t="s">
        <v>164</v>
      </c>
      <c r="C1863" s="93" t="s">
        <v>2</v>
      </c>
      <c r="D1863" s="93" t="s">
        <v>202</v>
      </c>
      <c r="E1863" s="93" t="s">
        <v>203</v>
      </c>
    </row>
    <row r="1864" spans="1:5">
      <c r="A1864" s="94" t="s">
        <v>542</v>
      </c>
      <c r="B1864" s="95" t="s">
        <v>543</v>
      </c>
      <c r="C1864" s="96">
        <v>1</v>
      </c>
      <c r="D1864" s="97">
        <v>300000</v>
      </c>
      <c r="E1864" s="128">
        <f>ROUND(C1864*D1864,0)</f>
        <v>300000</v>
      </c>
    </row>
    <row r="1865" spans="1:5">
      <c r="A1865" s="94" t="s">
        <v>544</v>
      </c>
      <c r="B1865" s="95" t="s">
        <v>505</v>
      </c>
      <c r="C1865" s="96">
        <v>0.125</v>
      </c>
      <c r="D1865" s="97">
        <v>8625</v>
      </c>
      <c r="E1865" s="128">
        <f t="shared" ref="E1865" si="76">ROUND(C1865*D1865,0)</f>
        <v>1078</v>
      </c>
    </row>
    <row r="1866" spans="1:5">
      <c r="A1866" s="99"/>
      <c r="B1866" s="101">
        <f>+E1866/D1876</f>
        <v>0.81372432432432429</v>
      </c>
      <c r="C1866" s="98"/>
      <c r="D1866" s="99" t="s">
        <v>209</v>
      </c>
      <c r="E1866" s="100">
        <f>SUM(E1864:E1865)</f>
        <v>301078</v>
      </c>
    </row>
    <row r="1867" spans="1:5">
      <c r="A1867" s="92" t="s">
        <v>210</v>
      </c>
      <c r="B1867" s="93" t="s">
        <v>164</v>
      </c>
      <c r="C1867" s="93" t="s">
        <v>2</v>
      </c>
      <c r="D1867" s="93" t="s">
        <v>202</v>
      </c>
      <c r="E1867" s="93" t="s">
        <v>203</v>
      </c>
    </row>
    <row r="1868" spans="1:5">
      <c r="A1868" s="94" t="s">
        <v>247</v>
      </c>
      <c r="B1868" s="95" t="s">
        <v>212</v>
      </c>
      <c r="C1868" s="96">
        <v>0.30068</v>
      </c>
      <c r="D1868" s="97">
        <v>171670</v>
      </c>
      <c r="E1868" s="98">
        <f>ROUND(C1868*D1868,0)</f>
        <v>51618</v>
      </c>
    </row>
    <row r="1869" spans="1:5">
      <c r="A1869" s="99"/>
      <c r="B1869" s="101">
        <f>+E1869/D1876</f>
        <v>0.1395081081081081</v>
      </c>
      <c r="C1869" s="98"/>
      <c r="D1869" s="99" t="s">
        <v>209</v>
      </c>
      <c r="E1869" s="100">
        <f>+E1868</f>
        <v>51618</v>
      </c>
    </row>
    <row r="1870" spans="1:5">
      <c r="A1870" s="92" t="s">
        <v>218</v>
      </c>
      <c r="B1870" s="93" t="s">
        <v>164</v>
      </c>
      <c r="C1870" s="93" t="s">
        <v>2</v>
      </c>
      <c r="D1870" s="93" t="s">
        <v>202</v>
      </c>
      <c r="E1870" s="93" t="s">
        <v>203</v>
      </c>
    </row>
    <row r="1871" spans="1:5">
      <c r="A1871" s="94" t="s">
        <v>213</v>
      </c>
      <c r="B1871" s="95" t="s">
        <v>214</v>
      </c>
      <c r="C1871" s="96">
        <v>0.05</v>
      </c>
      <c r="D1871" s="97">
        <f>+E1866</f>
        <v>301078</v>
      </c>
      <c r="E1871" s="98">
        <f>ROUND(C1871*D1871,0)</f>
        <v>15054</v>
      </c>
    </row>
    <row r="1872" spans="1:5">
      <c r="A1872" s="99"/>
      <c r="B1872" s="101">
        <f>+E1872/D1876</f>
        <v>4.0686486486486484E-2</v>
      </c>
      <c r="C1872" s="98"/>
      <c r="D1872" s="99" t="s">
        <v>209</v>
      </c>
      <c r="E1872" s="100">
        <f>SUM(E1871:E1871)</f>
        <v>15054</v>
      </c>
    </row>
    <row r="1873" spans="1:5">
      <c r="A1873" s="92" t="s">
        <v>219</v>
      </c>
      <c r="B1873" s="93" t="s">
        <v>164</v>
      </c>
      <c r="C1873" s="93" t="s">
        <v>2</v>
      </c>
      <c r="D1873" s="93" t="s">
        <v>202</v>
      </c>
      <c r="E1873" s="93" t="s">
        <v>203</v>
      </c>
    </row>
    <row r="1874" spans="1:5">
      <c r="A1874" s="94" t="s">
        <v>217</v>
      </c>
      <c r="B1874" s="95" t="s">
        <v>190</v>
      </c>
      <c r="C1874" s="96">
        <v>0.03</v>
      </c>
      <c r="D1874" s="97">
        <v>75000</v>
      </c>
      <c r="E1874" s="98">
        <f>ROUND(C1874*D1874,0)</f>
        <v>2250</v>
      </c>
    </row>
    <row r="1875" spans="1:5">
      <c r="A1875" s="99"/>
      <c r="B1875" s="101">
        <f>+E1875/D1876</f>
        <v>6.0810810810810814E-3</v>
      </c>
      <c r="C1875" s="98"/>
      <c r="D1875" s="99" t="s">
        <v>209</v>
      </c>
      <c r="E1875" s="100">
        <f>SUM(E1874:E1874)</f>
        <v>2250</v>
      </c>
    </row>
    <row r="1876" spans="1:5">
      <c r="A1876" s="213" t="s">
        <v>215</v>
      </c>
      <c r="B1876" s="213"/>
      <c r="C1876" s="213"/>
      <c r="D1876" s="214">
        <f>+E1875+E1872+E1869+E1866</f>
        <v>370000</v>
      </c>
      <c r="E1876" s="214"/>
    </row>
    <row r="1878" spans="1:5" ht="20.25">
      <c r="A1878" s="200" t="s">
        <v>216</v>
      </c>
      <c r="B1878" s="201"/>
      <c r="C1878" s="201"/>
      <c r="D1878" s="201"/>
      <c r="E1878" s="202"/>
    </row>
    <row r="1879" spans="1:5">
      <c r="A1879" s="203"/>
      <c r="B1879" s="204"/>
      <c r="C1879" s="205"/>
      <c r="D1879" s="90" t="s">
        <v>199</v>
      </c>
      <c r="E1879" s="90" t="s">
        <v>164</v>
      </c>
    </row>
    <row r="1880" spans="1:5">
      <c r="A1880" s="207" t="s">
        <v>457</v>
      </c>
      <c r="B1880" s="208"/>
      <c r="C1880" s="206"/>
      <c r="D1880" s="91" t="s">
        <v>519</v>
      </c>
      <c r="E1880" s="91" t="s">
        <v>187</v>
      </c>
    </row>
    <row r="1881" spans="1:5" ht="15.75">
      <c r="A1881" s="209" t="s">
        <v>200</v>
      </c>
      <c r="B1881" s="209"/>
      <c r="C1881" s="209"/>
      <c r="D1881" s="209"/>
      <c r="E1881" s="209"/>
    </row>
    <row r="1882" spans="1:5" ht="27.6" customHeight="1">
      <c r="A1882" s="210" t="s">
        <v>518</v>
      </c>
      <c r="B1882" s="211"/>
      <c r="C1882" s="211"/>
      <c r="D1882" s="211"/>
      <c r="E1882" s="212"/>
    </row>
    <row r="1883" spans="1:5">
      <c r="A1883" s="92" t="s">
        <v>201</v>
      </c>
      <c r="B1883" s="93" t="s">
        <v>164</v>
      </c>
      <c r="C1883" s="93" t="s">
        <v>2</v>
      </c>
      <c r="D1883" s="93" t="s">
        <v>202</v>
      </c>
      <c r="E1883" s="93" t="s">
        <v>203</v>
      </c>
    </row>
    <row r="1884" spans="1:5" ht="25.5">
      <c r="A1884" s="173" t="s">
        <v>545</v>
      </c>
      <c r="B1884" s="95" t="s">
        <v>187</v>
      </c>
      <c r="C1884" s="96">
        <v>1</v>
      </c>
      <c r="D1884" s="97">
        <v>850000</v>
      </c>
      <c r="E1884" s="128">
        <f>ROUND(C1884*D1884,0)</f>
        <v>850000</v>
      </c>
    </row>
    <row r="1885" spans="1:5">
      <c r="A1885" s="99"/>
      <c r="B1885" s="101">
        <f>+E1885/D1895</f>
        <v>0.85</v>
      </c>
      <c r="C1885" s="98"/>
      <c r="D1885" s="99" t="s">
        <v>209</v>
      </c>
      <c r="E1885" s="100">
        <f>SUM(E1884:E1884)</f>
        <v>850000</v>
      </c>
    </row>
    <row r="1886" spans="1:5">
      <c r="A1886" s="92" t="s">
        <v>210</v>
      </c>
      <c r="B1886" s="93" t="s">
        <v>164</v>
      </c>
      <c r="C1886" s="93" t="s">
        <v>2</v>
      </c>
      <c r="D1886" s="93" t="s">
        <v>202</v>
      </c>
      <c r="E1886" s="93" t="s">
        <v>203</v>
      </c>
    </row>
    <row r="1887" spans="1:5">
      <c r="A1887" s="94" t="s">
        <v>247</v>
      </c>
      <c r="B1887" s="95" t="s">
        <v>212</v>
      </c>
      <c r="C1887" s="96">
        <v>0.60436000000000001</v>
      </c>
      <c r="D1887" s="97">
        <v>171670</v>
      </c>
      <c r="E1887" s="98">
        <f>ROUND(C1887*D1887,0)</f>
        <v>103750</v>
      </c>
    </row>
    <row r="1888" spans="1:5">
      <c r="A1888" s="99"/>
      <c r="B1888" s="101">
        <f>+E1888/D1895</f>
        <v>0.10375</v>
      </c>
      <c r="C1888" s="98"/>
      <c r="D1888" s="99" t="s">
        <v>209</v>
      </c>
      <c r="E1888" s="100">
        <f>+E1887</f>
        <v>103750</v>
      </c>
    </row>
    <row r="1889" spans="1:5">
      <c r="A1889" s="92" t="s">
        <v>218</v>
      </c>
      <c r="B1889" s="93" t="s">
        <v>164</v>
      </c>
      <c r="C1889" s="93" t="s">
        <v>2</v>
      </c>
      <c r="D1889" s="93" t="s">
        <v>202</v>
      </c>
      <c r="E1889" s="93" t="s">
        <v>203</v>
      </c>
    </row>
    <row r="1890" spans="1:5">
      <c r="A1890" s="94" t="s">
        <v>213</v>
      </c>
      <c r="B1890" s="95" t="s">
        <v>214</v>
      </c>
      <c r="C1890" s="96">
        <v>0.05</v>
      </c>
      <c r="D1890" s="97">
        <f>+E1885</f>
        <v>850000</v>
      </c>
      <c r="E1890" s="98">
        <f>ROUND(C1890*D1890,0)</f>
        <v>42500</v>
      </c>
    </row>
    <row r="1891" spans="1:5">
      <c r="A1891" s="99"/>
      <c r="B1891" s="101">
        <f>+E1891/D1895</f>
        <v>4.2500000000000003E-2</v>
      </c>
      <c r="C1891" s="98"/>
      <c r="D1891" s="99" t="s">
        <v>209</v>
      </c>
      <c r="E1891" s="100">
        <f>SUM(E1890:E1890)</f>
        <v>42500</v>
      </c>
    </row>
    <row r="1892" spans="1:5">
      <c r="A1892" s="92" t="s">
        <v>219</v>
      </c>
      <c r="B1892" s="93" t="s">
        <v>164</v>
      </c>
      <c r="C1892" s="93" t="s">
        <v>2</v>
      </c>
      <c r="D1892" s="93" t="s">
        <v>202</v>
      </c>
      <c r="E1892" s="93" t="s">
        <v>203</v>
      </c>
    </row>
    <row r="1893" spans="1:5">
      <c r="A1893" s="94" t="s">
        <v>217</v>
      </c>
      <c r="B1893" s="95" t="s">
        <v>190</v>
      </c>
      <c r="C1893" s="96">
        <v>0.05</v>
      </c>
      <c r="D1893" s="97">
        <v>75000</v>
      </c>
      <c r="E1893" s="98">
        <f>ROUND(C1893*D1893,0)</f>
        <v>3750</v>
      </c>
    </row>
    <row r="1894" spans="1:5">
      <c r="A1894" s="99"/>
      <c r="B1894" s="101">
        <f>+E1894/D1895</f>
        <v>3.7499999999999999E-3</v>
      </c>
      <c r="C1894" s="98"/>
      <c r="D1894" s="99" t="s">
        <v>209</v>
      </c>
      <c r="E1894" s="100">
        <f>SUM(E1893:E1893)</f>
        <v>3750</v>
      </c>
    </row>
    <row r="1895" spans="1:5">
      <c r="A1895" s="213" t="s">
        <v>215</v>
      </c>
      <c r="B1895" s="213"/>
      <c r="C1895" s="213"/>
      <c r="D1895" s="214">
        <f>+E1894+E1891+E1888+E1885</f>
        <v>1000000</v>
      </c>
      <c r="E1895" s="214"/>
    </row>
    <row r="1897" spans="1:5" ht="20.25">
      <c r="A1897" s="200" t="s">
        <v>216</v>
      </c>
      <c r="B1897" s="201"/>
      <c r="C1897" s="201"/>
      <c r="D1897" s="201"/>
      <c r="E1897" s="202"/>
    </row>
    <row r="1898" spans="1:5">
      <c r="A1898" s="203"/>
      <c r="B1898" s="204"/>
      <c r="C1898" s="205"/>
      <c r="D1898" s="90" t="s">
        <v>199</v>
      </c>
      <c r="E1898" s="90" t="s">
        <v>164</v>
      </c>
    </row>
    <row r="1899" spans="1:5">
      <c r="A1899" s="207" t="s">
        <v>457</v>
      </c>
      <c r="B1899" s="208"/>
      <c r="C1899" s="206"/>
      <c r="D1899" s="91" t="s">
        <v>524</v>
      </c>
      <c r="E1899" s="91" t="s">
        <v>189</v>
      </c>
    </row>
    <row r="1900" spans="1:5" ht="15.75">
      <c r="A1900" s="209" t="s">
        <v>200</v>
      </c>
      <c r="B1900" s="209"/>
      <c r="C1900" s="209"/>
      <c r="D1900" s="209"/>
      <c r="E1900" s="209"/>
    </row>
    <row r="1901" spans="1:5" ht="26.45" customHeight="1">
      <c r="A1901" s="210" t="s">
        <v>520</v>
      </c>
      <c r="B1901" s="211"/>
      <c r="C1901" s="211"/>
      <c r="D1901" s="211"/>
      <c r="E1901" s="212"/>
    </row>
    <row r="1902" spans="1:5">
      <c r="A1902" s="92" t="s">
        <v>201</v>
      </c>
      <c r="B1902" s="93" t="s">
        <v>164</v>
      </c>
      <c r="C1902" s="93" t="s">
        <v>2</v>
      </c>
      <c r="D1902" s="93" t="s">
        <v>202</v>
      </c>
      <c r="E1902" s="93" t="s">
        <v>203</v>
      </c>
    </row>
    <row r="1903" spans="1:5">
      <c r="A1903" s="94" t="s">
        <v>546</v>
      </c>
      <c r="B1903" s="95" t="s">
        <v>187</v>
      </c>
      <c r="C1903" s="96">
        <v>1</v>
      </c>
      <c r="D1903" s="97">
        <v>19000</v>
      </c>
      <c r="E1903" s="128">
        <f>ROUND(C1903*D1903,0)</f>
        <v>19000</v>
      </c>
    </row>
    <row r="1904" spans="1:5">
      <c r="A1904" s="99"/>
      <c r="B1904" s="101">
        <f>+E1904/D1914</f>
        <v>0.6333333333333333</v>
      </c>
      <c r="C1904" s="98"/>
      <c r="D1904" s="99" t="s">
        <v>209</v>
      </c>
      <c r="E1904" s="100">
        <f>SUM(E1903:E1903)</f>
        <v>19000</v>
      </c>
    </row>
    <row r="1905" spans="1:5">
      <c r="A1905" s="92" t="s">
        <v>210</v>
      </c>
      <c r="B1905" s="93" t="s">
        <v>164</v>
      </c>
      <c r="C1905" s="93" t="s">
        <v>2</v>
      </c>
      <c r="D1905" s="93" t="s">
        <v>202</v>
      </c>
      <c r="E1905" s="93" t="s">
        <v>203</v>
      </c>
    </row>
    <row r="1906" spans="1:5">
      <c r="A1906" s="94" t="s">
        <v>247</v>
      </c>
      <c r="B1906" s="95" t="s">
        <v>212</v>
      </c>
      <c r="C1906" s="96">
        <v>5.4175000000000001E-2</v>
      </c>
      <c r="D1906" s="97">
        <v>171670</v>
      </c>
      <c r="E1906" s="98">
        <f>ROUND(C1906*D1906,0)</f>
        <v>9300</v>
      </c>
    </row>
    <row r="1907" spans="1:5">
      <c r="A1907" s="99"/>
      <c r="B1907" s="101">
        <f>+E1907/D1914</f>
        <v>0.31</v>
      </c>
      <c r="C1907" s="98"/>
      <c r="D1907" s="99" t="s">
        <v>209</v>
      </c>
      <c r="E1907" s="100">
        <f>+E1906</f>
        <v>9300</v>
      </c>
    </row>
    <row r="1908" spans="1:5">
      <c r="A1908" s="92" t="s">
        <v>218</v>
      </c>
      <c r="B1908" s="93" t="s">
        <v>164</v>
      </c>
      <c r="C1908" s="93" t="s">
        <v>2</v>
      </c>
      <c r="D1908" s="93" t="s">
        <v>202</v>
      </c>
      <c r="E1908" s="93" t="s">
        <v>203</v>
      </c>
    </row>
    <row r="1909" spans="1:5">
      <c r="A1909" s="94" t="s">
        <v>213</v>
      </c>
      <c r="B1909" s="95" t="s">
        <v>214</v>
      </c>
      <c r="C1909" s="96">
        <v>0.05</v>
      </c>
      <c r="D1909" s="97">
        <f>+E1904</f>
        <v>19000</v>
      </c>
      <c r="E1909" s="98">
        <f>ROUND(C1909*D1909,0)</f>
        <v>950</v>
      </c>
    </row>
    <row r="1910" spans="1:5">
      <c r="A1910" s="99"/>
      <c r="B1910" s="101">
        <f>+E1910/D1914</f>
        <v>3.1666666666666669E-2</v>
      </c>
      <c r="C1910" s="98"/>
      <c r="D1910" s="99" t="s">
        <v>209</v>
      </c>
      <c r="E1910" s="100">
        <f>SUM(E1909:E1909)</f>
        <v>950</v>
      </c>
    </row>
    <row r="1911" spans="1:5">
      <c r="A1911" s="92" t="s">
        <v>219</v>
      </c>
      <c r="B1911" s="93" t="s">
        <v>164</v>
      </c>
      <c r="C1911" s="93" t="s">
        <v>2</v>
      </c>
      <c r="D1911" s="93" t="s">
        <v>202</v>
      </c>
      <c r="E1911" s="93" t="s">
        <v>203</v>
      </c>
    </row>
    <row r="1912" spans="1:5">
      <c r="A1912" s="94" t="s">
        <v>217</v>
      </c>
      <c r="B1912" s="95" t="s">
        <v>190</v>
      </c>
      <c r="C1912" s="96">
        <v>0.01</v>
      </c>
      <c r="D1912" s="97">
        <v>75000</v>
      </c>
      <c r="E1912" s="98">
        <f>ROUND(C1912*D1912,0)</f>
        <v>750</v>
      </c>
    </row>
    <row r="1913" spans="1:5">
      <c r="A1913" s="99"/>
      <c r="B1913" s="101">
        <f>+E1913/D1914</f>
        <v>2.5000000000000001E-2</v>
      </c>
      <c r="C1913" s="98"/>
      <c r="D1913" s="99" t="s">
        <v>209</v>
      </c>
      <c r="E1913" s="100">
        <f>SUM(E1912:E1912)</f>
        <v>750</v>
      </c>
    </row>
    <row r="1914" spans="1:5">
      <c r="A1914" s="213" t="s">
        <v>215</v>
      </c>
      <c r="B1914" s="213"/>
      <c r="C1914" s="213"/>
      <c r="D1914" s="214">
        <f>+E1913+E1910+E1907+E1904</f>
        <v>30000</v>
      </c>
      <c r="E1914" s="214"/>
    </row>
    <row r="1916" spans="1:5" ht="20.25">
      <c r="A1916" s="200" t="s">
        <v>216</v>
      </c>
      <c r="B1916" s="201"/>
      <c r="C1916" s="201"/>
      <c r="D1916" s="201"/>
      <c r="E1916" s="202"/>
    </row>
    <row r="1917" spans="1:5">
      <c r="A1917" s="203"/>
      <c r="B1917" s="204"/>
      <c r="C1917" s="205"/>
      <c r="D1917" s="90" t="s">
        <v>199</v>
      </c>
      <c r="E1917" s="90" t="s">
        <v>164</v>
      </c>
    </row>
    <row r="1918" spans="1:5">
      <c r="A1918" s="207" t="s">
        <v>457</v>
      </c>
      <c r="B1918" s="208"/>
      <c r="C1918" s="206"/>
      <c r="D1918" s="91" t="s">
        <v>525</v>
      </c>
      <c r="E1918" s="91" t="s">
        <v>164</v>
      </c>
    </row>
    <row r="1919" spans="1:5" ht="15.75">
      <c r="A1919" s="209" t="s">
        <v>200</v>
      </c>
      <c r="B1919" s="209"/>
      <c r="C1919" s="209"/>
      <c r="D1919" s="209"/>
      <c r="E1919" s="209"/>
    </row>
    <row r="1920" spans="1:5" ht="32.25" customHeight="1">
      <c r="A1920" s="210" t="s">
        <v>521</v>
      </c>
      <c r="B1920" s="211"/>
      <c r="C1920" s="211"/>
      <c r="D1920" s="211"/>
      <c r="E1920" s="212"/>
    </row>
    <row r="1921" spans="1:5">
      <c r="A1921" s="92" t="s">
        <v>201</v>
      </c>
      <c r="B1921" s="93" t="s">
        <v>164</v>
      </c>
      <c r="C1921" s="93" t="s">
        <v>2</v>
      </c>
      <c r="D1921" s="93" t="s">
        <v>202</v>
      </c>
      <c r="E1921" s="93" t="s">
        <v>203</v>
      </c>
    </row>
    <row r="1922" spans="1:5">
      <c r="A1922" s="94" t="s">
        <v>547</v>
      </c>
      <c r="B1922" s="95" t="s">
        <v>164</v>
      </c>
      <c r="C1922" s="96">
        <v>1</v>
      </c>
      <c r="D1922" s="97">
        <v>700000</v>
      </c>
      <c r="E1922" s="128">
        <f>ROUND(C1922*D1922,0)</f>
        <v>700000</v>
      </c>
    </row>
    <row r="1923" spans="1:5">
      <c r="A1923" s="99"/>
      <c r="B1923" s="101">
        <f>+E1923/D1933</f>
        <v>0.875</v>
      </c>
      <c r="C1923" s="98"/>
      <c r="D1923" s="99" t="s">
        <v>209</v>
      </c>
      <c r="E1923" s="100">
        <f>SUM(E1922:E1922)</f>
        <v>700000</v>
      </c>
    </row>
    <row r="1924" spans="1:5">
      <c r="A1924" s="92" t="s">
        <v>210</v>
      </c>
      <c r="B1924" s="93" t="s">
        <v>164</v>
      </c>
      <c r="C1924" s="93" t="s">
        <v>2</v>
      </c>
      <c r="D1924" s="93" t="s">
        <v>202</v>
      </c>
      <c r="E1924" s="93" t="s">
        <v>203</v>
      </c>
    </row>
    <row r="1925" spans="1:5">
      <c r="A1925" s="94" t="s">
        <v>247</v>
      </c>
      <c r="B1925" s="95" t="s">
        <v>212</v>
      </c>
      <c r="C1925" s="96">
        <v>0.37426500000000001</v>
      </c>
      <c r="D1925" s="97">
        <v>171670</v>
      </c>
      <c r="E1925" s="98">
        <f>ROUND(C1925*D1925,0)</f>
        <v>64250</v>
      </c>
    </row>
    <row r="1926" spans="1:5">
      <c r="A1926" s="99"/>
      <c r="B1926" s="101">
        <f>+E1926/D1933</f>
        <v>8.0312499999999995E-2</v>
      </c>
      <c r="C1926" s="98"/>
      <c r="D1926" s="99" t="s">
        <v>209</v>
      </c>
      <c r="E1926" s="100">
        <f>+E1925</f>
        <v>64250</v>
      </c>
    </row>
    <row r="1927" spans="1:5">
      <c r="A1927" s="92" t="s">
        <v>218</v>
      </c>
      <c r="B1927" s="93" t="s">
        <v>164</v>
      </c>
      <c r="C1927" s="93" t="s">
        <v>2</v>
      </c>
      <c r="D1927" s="93" t="s">
        <v>202</v>
      </c>
      <c r="E1927" s="93" t="s">
        <v>203</v>
      </c>
    </row>
    <row r="1928" spans="1:5">
      <c r="A1928" s="94" t="s">
        <v>213</v>
      </c>
      <c r="B1928" s="95" t="s">
        <v>214</v>
      </c>
      <c r="C1928" s="96">
        <v>0.05</v>
      </c>
      <c r="D1928" s="97">
        <f>+E1923</f>
        <v>700000</v>
      </c>
      <c r="E1928" s="98">
        <f>ROUND(C1928*D1928,0)</f>
        <v>35000</v>
      </c>
    </row>
    <row r="1929" spans="1:5">
      <c r="A1929" s="99"/>
      <c r="B1929" s="101">
        <f>+E1929/D1933</f>
        <v>4.3749999999999997E-2</v>
      </c>
      <c r="C1929" s="98"/>
      <c r="D1929" s="99" t="s">
        <v>209</v>
      </c>
      <c r="E1929" s="100">
        <f>SUM(E1928:E1928)</f>
        <v>35000</v>
      </c>
    </row>
    <row r="1930" spans="1:5">
      <c r="A1930" s="92" t="s">
        <v>219</v>
      </c>
      <c r="B1930" s="93" t="s">
        <v>164</v>
      </c>
      <c r="C1930" s="93" t="s">
        <v>2</v>
      </c>
      <c r="D1930" s="93" t="s">
        <v>202</v>
      </c>
      <c r="E1930" s="93" t="s">
        <v>203</v>
      </c>
    </row>
    <row r="1931" spans="1:5">
      <c r="A1931" s="94" t="s">
        <v>217</v>
      </c>
      <c r="B1931" s="95" t="s">
        <v>190</v>
      </c>
      <c r="C1931" s="96">
        <v>0.01</v>
      </c>
      <c r="D1931" s="97">
        <v>75000</v>
      </c>
      <c r="E1931" s="98">
        <f>ROUND(C1931*D1931,0)</f>
        <v>750</v>
      </c>
    </row>
    <row r="1932" spans="1:5">
      <c r="A1932" s="99"/>
      <c r="B1932" s="101">
        <f>+E1932/D1933</f>
        <v>9.3749999999999997E-4</v>
      </c>
      <c r="C1932" s="98"/>
      <c r="D1932" s="99" t="s">
        <v>209</v>
      </c>
      <c r="E1932" s="100">
        <f>SUM(E1931:E1931)</f>
        <v>750</v>
      </c>
    </row>
    <row r="1933" spans="1:5">
      <c r="A1933" s="213" t="s">
        <v>215</v>
      </c>
      <c r="B1933" s="213"/>
      <c r="C1933" s="213"/>
      <c r="D1933" s="214">
        <f>+E1932+E1929+E1926+E1923</f>
        <v>800000</v>
      </c>
      <c r="E1933" s="214"/>
    </row>
  </sheetData>
  <mergeCells count="704">
    <mergeCell ref="A703:E703"/>
    <mergeCell ref="A704:B704"/>
    <mergeCell ref="C704:C705"/>
    <mergeCell ref="A705:B705"/>
    <mergeCell ref="A706:E706"/>
    <mergeCell ref="A707:E707"/>
    <mergeCell ref="A724:C724"/>
    <mergeCell ref="D724:E724"/>
    <mergeCell ref="A1384:E1384"/>
    <mergeCell ref="A1192:E1192"/>
    <mergeCell ref="A1208:C1208"/>
    <mergeCell ref="D1208:E1208"/>
    <mergeCell ref="A1211:B1211"/>
    <mergeCell ref="C1211:C1212"/>
    <mergeCell ref="A1212:B1212"/>
    <mergeCell ref="A1213:E1213"/>
    <mergeCell ref="A1214:E1214"/>
    <mergeCell ref="A1232:C1232"/>
    <mergeCell ref="D1232:E1232"/>
    <mergeCell ref="A1210:E1210"/>
    <mergeCell ref="A909:B909"/>
    <mergeCell ref="C909:C910"/>
    <mergeCell ref="A910:B910"/>
    <mergeCell ref="A911:E911"/>
    <mergeCell ref="A1385:B1385"/>
    <mergeCell ref="C1385:C1386"/>
    <mergeCell ref="A1386:B1386"/>
    <mergeCell ref="A1387:E1387"/>
    <mergeCell ref="A1388:E1388"/>
    <mergeCell ref="A1402:C1402"/>
    <mergeCell ref="D1402:E1402"/>
    <mergeCell ref="A1404:E1404"/>
    <mergeCell ref="D1358:E1358"/>
    <mergeCell ref="A1360:E1360"/>
    <mergeCell ref="A1361:B1361"/>
    <mergeCell ref="C1361:C1362"/>
    <mergeCell ref="A1362:B1362"/>
    <mergeCell ref="A1363:E1363"/>
    <mergeCell ref="A1364:E1364"/>
    <mergeCell ref="A1382:C1382"/>
    <mergeCell ref="D1382:E1382"/>
    <mergeCell ref="A1358:C1358"/>
    <mergeCell ref="A912:E912"/>
    <mergeCell ref="A926:C926"/>
    <mergeCell ref="D926:E926"/>
    <mergeCell ref="A966:E966"/>
    <mergeCell ref="A967:B967"/>
    <mergeCell ref="C967:C968"/>
    <mergeCell ref="A968:B968"/>
    <mergeCell ref="A928:E928"/>
    <mergeCell ref="A929:B929"/>
    <mergeCell ref="C929:C930"/>
    <mergeCell ref="A930:B930"/>
    <mergeCell ref="A951:E951"/>
    <mergeCell ref="A964:C964"/>
    <mergeCell ref="D964:E964"/>
    <mergeCell ref="A888:E888"/>
    <mergeCell ref="A889:B889"/>
    <mergeCell ref="C889:C890"/>
    <mergeCell ref="A890:B890"/>
    <mergeCell ref="A891:E891"/>
    <mergeCell ref="A892:E892"/>
    <mergeCell ref="A906:C906"/>
    <mergeCell ref="D906:E906"/>
    <mergeCell ref="A908:E908"/>
    <mergeCell ref="D865:E865"/>
    <mergeCell ref="A867:E867"/>
    <mergeCell ref="A868:B868"/>
    <mergeCell ref="C868:C869"/>
    <mergeCell ref="A869:B869"/>
    <mergeCell ref="A870:E870"/>
    <mergeCell ref="A871:E871"/>
    <mergeCell ref="A886:C886"/>
    <mergeCell ref="D886:E886"/>
    <mergeCell ref="A752:E752"/>
    <mergeCell ref="A766:C766"/>
    <mergeCell ref="D766:E766"/>
    <mergeCell ref="A787:E787"/>
    <mergeCell ref="C788:C789"/>
    <mergeCell ref="A789:B789"/>
    <mergeCell ref="A791:E791"/>
    <mergeCell ref="A804:C804"/>
    <mergeCell ref="D804:E804"/>
    <mergeCell ref="A788:B788"/>
    <mergeCell ref="A772:E772"/>
    <mergeCell ref="A785:C785"/>
    <mergeCell ref="D785:E785"/>
    <mergeCell ref="A790:E790"/>
    <mergeCell ref="A729:E729"/>
    <mergeCell ref="A730:E730"/>
    <mergeCell ref="A746:C746"/>
    <mergeCell ref="D746:E746"/>
    <mergeCell ref="A748:E748"/>
    <mergeCell ref="A749:B749"/>
    <mergeCell ref="C749:C750"/>
    <mergeCell ref="A750:B750"/>
    <mergeCell ref="A751:E751"/>
    <mergeCell ref="A617:E617"/>
    <mergeCell ref="A618:E618"/>
    <mergeCell ref="A633:C633"/>
    <mergeCell ref="D633:E633"/>
    <mergeCell ref="A614:E614"/>
    <mergeCell ref="A615:B615"/>
    <mergeCell ref="C615:C616"/>
    <mergeCell ref="A616:B616"/>
    <mergeCell ref="A654:E654"/>
    <mergeCell ref="A635:E635"/>
    <mergeCell ref="A636:B636"/>
    <mergeCell ref="C636:C637"/>
    <mergeCell ref="A637:B637"/>
    <mergeCell ref="A638:E638"/>
    <mergeCell ref="A639:E639"/>
    <mergeCell ref="A652:C652"/>
    <mergeCell ref="D652:E652"/>
    <mergeCell ref="A594:B594"/>
    <mergeCell ref="C594:C595"/>
    <mergeCell ref="A595:B595"/>
    <mergeCell ref="A596:E596"/>
    <mergeCell ref="A597:E597"/>
    <mergeCell ref="A612:C612"/>
    <mergeCell ref="D612:E612"/>
    <mergeCell ref="A549:E549"/>
    <mergeCell ref="A550:B550"/>
    <mergeCell ref="C550:C551"/>
    <mergeCell ref="A551:B551"/>
    <mergeCell ref="A552:E552"/>
    <mergeCell ref="A553:E553"/>
    <mergeCell ref="A570:C570"/>
    <mergeCell ref="D570:E570"/>
    <mergeCell ref="A593:E593"/>
    <mergeCell ref="A575:E575"/>
    <mergeCell ref="A576:E576"/>
    <mergeCell ref="A591:C591"/>
    <mergeCell ref="D591:E591"/>
    <mergeCell ref="A1:E1"/>
    <mergeCell ref="A2:B2"/>
    <mergeCell ref="C2:C3"/>
    <mergeCell ref="A3:B3"/>
    <mergeCell ref="A4:E4"/>
    <mergeCell ref="A5:E5"/>
    <mergeCell ref="A22:C22"/>
    <mergeCell ref="D22:E22"/>
    <mergeCell ref="A42:C42"/>
    <mergeCell ref="D42:E42"/>
    <mergeCell ref="A24:E24"/>
    <mergeCell ref="A25:B25"/>
    <mergeCell ref="C25:C26"/>
    <mergeCell ref="A26:B26"/>
    <mergeCell ref="A27:E27"/>
    <mergeCell ref="A28:E28"/>
    <mergeCell ref="A44:E44"/>
    <mergeCell ref="A45:B45"/>
    <mergeCell ref="C45:C46"/>
    <mergeCell ref="A46:B46"/>
    <mergeCell ref="A65:E65"/>
    <mergeCell ref="A66:B66"/>
    <mergeCell ref="C66:C67"/>
    <mergeCell ref="A67:B67"/>
    <mergeCell ref="A68:E68"/>
    <mergeCell ref="A89:E89"/>
    <mergeCell ref="A90:E90"/>
    <mergeCell ref="A105:C105"/>
    <mergeCell ref="D105:E105"/>
    <mergeCell ref="A47:E47"/>
    <mergeCell ref="A48:E48"/>
    <mergeCell ref="A63:C63"/>
    <mergeCell ref="D63:E63"/>
    <mergeCell ref="A86:E86"/>
    <mergeCell ref="A87:B87"/>
    <mergeCell ref="C87:C88"/>
    <mergeCell ref="A88:B88"/>
    <mergeCell ref="A69:E69"/>
    <mergeCell ref="A84:C84"/>
    <mergeCell ref="D84:E84"/>
    <mergeCell ref="A110:E110"/>
    <mergeCell ref="A111:E111"/>
    <mergeCell ref="A126:C126"/>
    <mergeCell ref="D126:E126"/>
    <mergeCell ref="A128:E128"/>
    <mergeCell ref="A129:B129"/>
    <mergeCell ref="C129:C130"/>
    <mergeCell ref="A130:B130"/>
    <mergeCell ref="A107:E107"/>
    <mergeCell ref="A108:B108"/>
    <mergeCell ref="C108:C109"/>
    <mergeCell ref="A109:B109"/>
    <mergeCell ref="A152:E152"/>
    <mergeCell ref="A153:E153"/>
    <mergeCell ref="A167:C167"/>
    <mergeCell ref="D167:E167"/>
    <mergeCell ref="A169:E169"/>
    <mergeCell ref="A170:B170"/>
    <mergeCell ref="C170:C171"/>
    <mergeCell ref="A171:B171"/>
    <mergeCell ref="A131:E131"/>
    <mergeCell ref="A132:E132"/>
    <mergeCell ref="A147:C147"/>
    <mergeCell ref="D147:E147"/>
    <mergeCell ref="A149:E149"/>
    <mergeCell ref="A150:B150"/>
    <mergeCell ref="C150:C151"/>
    <mergeCell ref="A151:B151"/>
    <mergeCell ref="A193:E193"/>
    <mergeCell ref="A194:E194"/>
    <mergeCell ref="A212:C212"/>
    <mergeCell ref="D212:E212"/>
    <mergeCell ref="A214:E214"/>
    <mergeCell ref="A215:B215"/>
    <mergeCell ref="C215:C216"/>
    <mergeCell ref="A216:B216"/>
    <mergeCell ref="A172:E172"/>
    <mergeCell ref="A173:E173"/>
    <mergeCell ref="A188:C188"/>
    <mergeCell ref="D188:E188"/>
    <mergeCell ref="A190:E190"/>
    <mergeCell ref="A191:B191"/>
    <mergeCell ref="C191:C192"/>
    <mergeCell ref="A192:B192"/>
    <mergeCell ref="A241:E241"/>
    <mergeCell ref="A242:E242"/>
    <mergeCell ref="A260:C260"/>
    <mergeCell ref="D260:E260"/>
    <mergeCell ref="A262:E262"/>
    <mergeCell ref="A263:B263"/>
    <mergeCell ref="C263:C264"/>
    <mergeCell ref="A264:B264"/>
    <mergeCell ref="A217:E217"/>
    <mergeCell ref="A218:E218"/>
    <mergeCell ref="A236:C236"/>
    <mergeCell ref="D236:E236"/>
    <mergeCell ref="A238:E238"/>
    <mergeCell ref="A239:B239"/>
    <mergeCell ref="C239:C240"/>
    <mergeCell ref="A240:B240"/>
    <mergeCell ref="A289:E289"/>
    <mergeCell ref="A290:E290"/>
    <mergeCell ref="A304:C304"/>
    <mergeCell ref="D304:E304"/>
    <mergeCell ref="A306:E306"/>
    <mergeCell ref="A307:B307"/>
    <mergeCell ref="C307:C308"/>
    <mergeCell ref="A308:B308"/>
    <mergeCell ref="A265:E265"/>
    <mergeCell ref="A266:E266"/>
    <mergeCell ref="A284:C284"/>
    <mergeCell ref="D284:E284"/>
    <mergeCell ref="A286:E286"/>
    <mergeCell ref="A287:B287"/>
    <mergeCell ref="C287:C288"/>
    <mergeCell ref="A288:B288"/>
    <mergeCell ref="A359:E359"/>
    <mergeCell ref="A360:E360"/>
    <mergeCell ref="A378:C378"/>
    <mergeCell ref="D378:E378"/>
    <mergeCell ref="A380:E380"/>
    <mergeCell ref="A381:B381"/>
    <mergeCell ref="C381:C382"/>
    <mergeCell ref="A382:B382"/>
    <mergeCell ref="A309:E309"/>
    <mergeCell ref="A310:E310"/>
    <mergeCell ref="A329:C329"/>
    <mergeCell ref="D329:E329"/>
    <mergeCell ref="A356:E356"/>
    <mergeCell ref="A357:B357"/>
    <mergeCell ref="C357:C358"/>
    <mergeCell ref="A358:B358"/>
    <mergeCell ref="A331:E331"/>
    <mergeCell ref="A332:B332"/>
    <mergeCell ref="C332:C333"/>
    <mergeCell ref="A333:B333"/>
    <mergeCell ref="A334:E334"/>
    <mergeCell ref="A335:E335"/>
    <mergeCell ref="A354:C354"/>
    <mergeCell ref="D354:E354"/>
    <mergeCell ref="A403:E403"/>
    <mergeCell ref="A404:E404"/>
    <mergeCell ref="A418:C418"/>
    <mergeCell ref="D418:E418"/>
    <mergeCell ref="A383:E383"/>
    <mergeCell ref="A384:E384"/>
    <mergeCell ref="A398:C398"/>
    <mergeCell ref="D398:E398"/>
    <mergeCell ref="A400:E400"/>
    <mergeCell ref="A401:B401"/>
    <mergeCell ref="C401:C402"/>
    <mergeCell ref="A402:B402"/>
    <mergeCell ref="A423:E423"/>
    <mergeCell ref="A424:E424"/>
    <mergeCell ref="A439:C439"/>
    <mergeCell ref="D439:E439"/>
    <mergeCell ref="A462:E462"/>
    <mergeCell ref="A463:B463"/>
    <mergeCell ref="C463:C464"/>
    <mergeCell ref="A464:B464"/>
    <mergeCell ref="A420:E420"/>
    <mergeCell ref="A421:B421"/>
    <mergeCell ref="C421:C422"/>
    <mergeCell ref="A422:B422"/>
    <mergeCell ref="A441:E441"/>
    <mergeCell ref="A442:B442"/>
    <mergeCell ref="C442:C443"/>
    <mergeCell ref="A443:B443"/>
    <mergeCell ref="A444:E444"/>
    <mergeCell ref="A445:E445"/>
    <mergeCell ref="A460:C460"/>
    <mergeCell ref="D460:E460"/>
    <mergeCell ref="A485:E485"/>
    <mergeCell ref="A486:E486"/>
    <mergeCell ref="A501:C501"/>
    <mergeCell ref="D501:E501"/>
    <mergeCell ref="A503:E503"/>
    <mergeCell ref="A504:B504"/>
    <mergeCell ref="C504:C505"/>
    <mergeCell ref="A505:B505"/>
    <mergeCell ref="A465:E465"/>
    <mergeCell ref="A466:E466"/>
    <mergeCell ref="A480:C480"/>
    <mergeCell ref="D480:E480"/>
    <mergeCell ref="A482:E482"/>
    <mergeCell ref="A483:B483"/>
    <mergeCell ref="C483:C484"/>
    <mergeCell ref="A484:B484"/>
    <mergeCell ref="A506:E506"/>
    <mergeCell ref="A507:E507"/>
    <mergeCell ref="A523:C523"/>
    <mergeCell ref="D523:E523"/>
    <mergeCell ref="A572:E572"/>
    <mergeCell ref="A573:B573"/>
    <mergeCell ref="C573:C574"/>
    <mergeCell ref="A574:B574"/>
    <mergeCell ref="A525:E525"/>
    <mergeCell ref="A526:B526"/>
    <mergeCell ref="C526:C527"/>
    <mergeCell ref="A527:B527"/>
    <mergeCell ref="A528:E528"/>
    <mergeCell ref="A529:E529"/>
    <mergeCell ref="A547:C547"/>
    <mergeCell ref="D547:E547"/>
    <mergeCell ref="A655:B655"/>
    <mergeCell ref="C655:C656"/>
    <mergeCell ref="A656:B656"/>
    <mergeCell ref="A657:E657"/>
    <mergeCell ref="A658:E658"/>
    <mergeCell ref="A677:C677"/>
    <mergeCell ref="D677:E677"/>
    <mergeCell ref="A679:E679"/>
    <mergeCell ref="A771:E771"/>
    <mergeCell ref="A768:E768"/>
    <mergeCell ref="A769:B769"/>
    <mergeCell ref="C769:C770"/>
    <mergeCell ref="A770:B770"/>
    <mergeCell ref="A680:B680"/>
    <mergeCell ref="C680:C681"/>
    <mergeCell ref="A681:B681"/>
    <mergeCell ref="A682:E682"/>
    <mergeCell ref="A683:E683"/>
    <mergeCell ref="A701:C701"/>
    <mergeCell ref="D701:E701"/>
    <mergeCell ref="A726:E726"/>
    <mergeCell ref="A727:B727"/>
    <mergeCell ref="C727:C728"/>
    <mergeCell ref="A728:B728"/>
    <mergeCell ref="A806:E806"/>
    <mergeCell ref="A807:B807"/>
    <mergeCell ref="C807:C808"/>
    <mergeCell ref="A808:B808"/>
    <mergeCell ref="A809:E809"/>
    <mergeCell ref="A810:E810"/>
    <mergeCell ref="A825:C825"/>
    <mergeCell ref="D825:E825"/>
    <mergeCell ref="A950:E950"/>
    <mergeCell ref="A827:E827"/>
    <mergeCell ref="A828:B828"/>
    <mergeCell ref="C828:C829"/>
    <mergeCell ref="A829:B829"/>
    <mergeCell ref="A830:E830"/>
    <mergeCell ref="A831:E831"/>
    <mergeCell ref="A844:C844"/>
    <mergeCell ref="D844:E844"/>
    <mergeCell ref="A846:E846"/>
    <mergeCell ref="A847:B847"/>
    <mergeCell ref="C847:C848"/>
    <mergeCell ref="A848:B848"/>
    <mergeCell ref="A849:E849"/>
    <mergeCell ref="A850:E850"/>
    <mergeCell ref="A865:C865"/>
    <mergeCell ref="A996:E996"/>
    <mergeCell ref="A997:B997"/>
    <mergeCell ref="C997:C998"/>
    <mergeCell ref="A998:B998"/>
    <mergeCell ref="A931:E931"/>
    <mergeCell ref="A932:E932"/>
    <mergeCell ref="A945:C945"/>
    <mergeCell ref="D945:E945"/>
    <mergeCell ref="A947:E947"/>
    <mergeCell ref="A948:B948"/>
    <mergeCell ref="C948:C949"/>
    <mergeCell ref="A949:B949"/>
    <mergeCell ref="A969:E969"/>
    <mergeCell ref="A970:E970"/>
    <mergeCell ref="A994:C994"/>
    <mergeCell ref="D994:E994"/>
    <mergeCell ref="A1020:E1020"/>
    <mergeCell ref="A1021:E1021"/>
    <mergeCell ref="A1036:C1036"/>
    <mergeCell ref="D1036:E1036"/>
    <mergeCell ref="A999:E999"/>
    <mergeCell ref="A1000:E1000"/>
    <mergeCell ref="A1015:C1015"/>
    <mergeCell ref="D1015:E1015"/>
    <mergeCell ref="A1017:E1017"/>
    <mergeCell ref="A1018:B1018"/>
    <mergeCell ref="C1018:C1019"/>
    <mergeCell ref="A1019:B1019"/>
    <mergeCell ref="A1038:E1038"/>
    <mergeCell ref="A1039:B1039"/>
    <mergeCell ref="C1039:C1040"/>
    <mergeCell ref="A1040:B1040"/>
    <mergeCell ref="A1041:E1041"/>
    <mergeCell ref="A1042:E1042"/>
    <mergeCell ref="A1057:C1057"/>
    <mergeCell ref="D1057:E1057"/>
    <mergeCell ref="A1105:E1105"/>
    <mergeCell ref="A1059:E1059"/>
    <mergeCell ref="A1060:B1060"/>
    <mergeCell ref="C1060:C1061"/>
    <mergeCell ref="A1061:B1061"/>
    <mergeCell ref="A1062:E1062"/>
    <mergeCell ref="A1063:E1063"/>
    <mergeCell ref="A1078:C1078"/>
    <mergeCell ref="D1078:E1078"/>
    <mergeCell ref="A1080:E1080"/>
    <mergeCell ref="A1081:B1081"/>
    <mergeCell ref="C1081:C1082"/>
    <mergeCell ref="A1082:B1082"/>
    <mergeCell ref="A1083:E1083"/>
    <mergeCell ref="A1099:C1099"/>
    <mergeCell ref="D1099:E1099"/>
    <mergeCell ref="A1124:B1124"/>
    <mergeCell ref="A1084:E1084"/>
    <mergeCell ref="A1103:B1103"/>
    <mergeCell ref="A1104:E1104"/>
    <mergeCell ref="A1120:C1120"/>
    <mergeCell ref="D1120:E1120"/>
    <mergeCell ref="A1122:E1122"/>
    <mergeCell ref="A1123:B1123"/>
    <mergeCell ref="C1123:C1124"/>
    <mergeCell ref="A1101:E1101"/>
    <mergeCell ref="A1102:B1102"/>
    <mergeCell ref="C1102:C1103"/>
    <mergeCell ref="A1125:E1125"/>
    <mergeCell ref="A1147:E1147"/>
    <mergeCell ref="A1148:E1148"/>
    <mergeCell ref="A1167:B1167"/>
    <mergeCell ref="A1126:E1126"/>
    <mergeCell ref="A1144:E1144"/>
    <mergeCell ref="A1145:B1145"/>
    <mergeCell ref="C1145:C1146"/>
    <mergeCell ref="A1146:B1146"/>
    <mergeCell ref="A1142:C1142"/>
    <mergeCell ref="D1142:E1142"/>
    <mergeCell ref="A1164:C1164"/>
    <mergeCell ref="D1164:E1164"/>
    <mergeCell ref="A1166:E1166"/>
    <mergeCell ref="C1167:C1168"/>
    <mergeCell ref="A1168:B1168"/>
    <mergeCell ref="A1169:E1169"/>
    <mergeCell ref="A1170:E1170"/>
    <mergeCell ref="A1186:C1186"/>
    <mergeCell ref="D1186:E1186"/>
    <mergeCell ref="A1188:E1188"/>
    <mergeCell ref="A1189:B1189"/>
    <mergeCell ref="C1189:C1190"/>
    <mergeCell ref="A1190:B1190"/>
    <mergeCell ref="A1191:E1191"/>
    <mergeCell ref="A1234:E1234"/>
    <mergeCell ref="A1235:B1235"/>
    <mergeCell ref="C1235:C1236"/>
    <mergeCell ref="A1236:B1236"/>
    <mergeCell ref="A1237:E1237"/>
    <mergeCell ref="A1238:E1238"/>
    <mergeCell ref="A1253:C1253"/>
    <mergeCell ref="D1253:E1253"/>
    <mergeCell ref="A1255:E1255"/>
    <mergeCell ref="A1256:B1256"/>
    <mergeCell ref="C1256:C1257"/>
    <mergeCell ref="A1257:B1257"/>
    <mergeCell ref="A1258:E1258"/>
    <mergeCell ref="A1259:E1259"/>
    <mergeCell ref="A1296:E1296"/>
    <mergeCell ref="A1297:B1297"/>
    <mergeCell ref="C1297:C1298"/>
    <mergeCell ref="A1298:B1298"/>
    <mergeCell ref="A1274:C1274"/>
    <mergeCell ref="D1274:E1274"/>
    <mergeCell ref="A1276:E1276"/>
    <mergeCell ref="A1277:B1277"/>
    <mergeCell ref="C1277:C1278"/>
    <mergeCell ref="A1278:B1278"/>
    <mergeCell ref="A1279:E1279"/>
    <mergeCell ref="A1280:E1280"/>
    <mergeCell ref="A1294:C1294"/>
    <mergeCell ref="D1294:E1294"/>
    <mergeCell ref="A1299:E1299"/>
    <mergeCell ref="A1300:E1300"/>
    <mergeCell ref="A1315:C1315"/>
    <mergeCell ref="D1315:E1315"/>
    <mergeCell ref="A1339:B1339"/>
    <mergeCell ref="C1339:C1340"/>
    <mergeCell ref="A1340:B1340"/>
    <mergeCell ref="A1341:E1341"/>
    <mergeCell ref="A1342:E1342"/>
    <mergeCell ref="A1317:E1317"/>
    <mergeCell ref="A1318:B1318"/>
    <mergeCell ref="C1318:C1319"/>
    <mergeCell ref="A1319:B1319"/>
    <mergeCell ref="A1320:E1320"/>
    <mergeCell ref="A1321:E1321"/>
    <mergeCell ref="A1336:C1336"/>
    <mergeCell ref="D1336:E1336"/>
    <mergeCell ref="A1338:E1338"/>
    <mergeCell ref="C1405:C1406"/>
    <mergeCell ref="A1406:B1406"/>
    <mergeCell ref="A1426:E1426"/>
    <mergeCell ref="A1427:B1427"/>
    <mergeCell ref="C1427:C1428"/>
    <mergeCell ref="A1428:B1428"/>
    <mergeCell ref="A1429:E1429"/>
    <mergeCell ref="A1430:E1430"/>
    <mergeCell ref="A1451:C1451"/>
    <mergeCell ref="D1451:E1451"/>
    <mergeCell ref="A1407:E1407"/>
    <mergeCell ref="A1408:E1408"/>
    <mergeCell ref="A1424:C1424"/>
    <mergeCell ref="D1424:E1424"/>
    <mergeCell ref="A1405:B1405"/>
    <mergeCell ref="A1453:E1453"/>
    <mergeCell ref="A1454:B1454"/>
    <mergeCell ref="C1454:C1455"/>
    <mergeCell ref="A1455:B1455"/>
    <mergeCell ref="A1456:E1456"/>
    <mergeCell ref="A1457:E1457"/>
    <mergeCell ref="A1476:C1476"/>
    <mergeCell ref="D1476:E1476"/>
    <mergeCell ref="A1478:E1478"/>
    <mergeCell ref="A1479:B1479"/>
    <mergeCell ref="C1479:C1480"/>
    <mergeCell ref="A1480:B1480"/>
    <mergeCell ref="A1481:E1481"/>
    <mergeCell ref="A1482:E1482"/>
    <mergeCell ref="A1495:C1495"/>
    <mergeCell ref="D1495:E1495"/>
    <mergeCell ref="A1497:E1497"/>
    <mergeCell ref="A1498:B1498"/>
    <mergeCell ref="C1498:C1499"/>
    <mergeCell ref="A1499:B1499"/>
    <mergeCell ref="A1500:E1500"/>
    <mergeCell ref="A1501:E1501"/>
    <mergeCell ref="A1519:C1519"/>
    <mergeCell ref="D1519:E1519"/>
    <mergeCell ref="A1521:E1521"/>
    <mergeCell ref="A1522:B1522"/>
    <mergeCell ref="C1522:C1523"/>
    <mergeCell ref="A1523:B1523"/>
    <mergeCell ref="A1524:E1524"/>
    <mergeCell ref="A1525:E1525"/>
    <mergeCell ref="A1539:C1539"/>
    <mergeCell ref="D1539:E1539"/>
    <mergeCell ref="A1541:E1541"/>
    <mergeCell ref="A1542:B1542"/>
    <mergeCell ref="C1542:C1543"/>
    <mergeCell ref="A1543:B1543"/>
    <mergeCell ref="A1544:E1544"/>
    <mergeCell ref="A1545:E1545"/>
    <mergeCell ref="A1562:C1562"/>
    <mergeCell ref="D1562:E1562"/>
    <mergeCell ref="A1564:E1564"/>
    <mergeCell ref="A1565:B1565"/>
    <mergeCell ref="C1565:C1566"/>
    <mergeCell ref="A1566:B1566"/>
    <mergeCell ref="A1567:E1567"/>
    <mergeCell ref="A1568:E1568"/>
    <mergeCell ref="A1582:C1582"/>
    <mergeCell ref="D1582:E1582"/>
    <mergeCell ref="A1650:E1650"/>
    <mergeCell ref="A1651:B1651"/>
    <mergeCell ref="C1651:C1652"/>
    <mergeCell ref="A1652:B1652"/>
    <mergeCell ref="A1653:E1653"/>
    <mergeCell ref="A1584:E1584"/>
    <mergeCell ref="A1585:B1585"/>
    <mergeCell ref="C1585:C1586"/>
    <mergeCell ref="A1586:B1586"/>
    <mergeCell ref="A1587:E1587"/>
    <mergeCell ref="A1588:E1588"/>
    <mergeCell ref="A1602:C1602"/>
    <mergeCell ref="D1602:E1602"/>
    <mergeCell ref="A1604:E1604"/>
    <mergeCell ref="A1744:E1744"/>
    <mergeCell ref="A1745:B1745"/>
    <mergeCell ref="C1745:C1746"/>
    <mergeCell ref="A1746:B1746"/>
    <mergeCell ref="A1747:E1747"/>
    <mergeCell ref="A1605:B1605"/>
    <mergeCell ref="C1605:C1606"/>
    <mergeCell ref="A1606:B1606"/>
    <mergeCell ref="A1607:E1607"/>
    <mergeCell ref="A1608:E1608"/>
    <mergeCell ref="A1622:C1622"/>
    <mergeCell ref="D1622:E1622"/>
    <mergeCell ref="A1676:E1676"/>
    <mergeCell ref="A1677:B1677"/>
    <mergeCell ref="C1677:C1678"/>
    <mergeCell ref="A1678:B1678"/>
    <mergeCell ref="A1624:E1624"/>
    <mergeCell ref="A1625:B1625"/>
    <mergeCell ref="C1625:C1626"/>
    <mergeCell ref="A1626:B1626"/>
    <mergeCell ref="A1627:E1627"/>
    <mergeCell ref="A1628:E1628"/>
    <mergeCell ref="A1648:C1648"/>
    <mergeCell ref="D1648:E1648"/>
    <mergeCell ref="A1748:E1748"/>
    <mergeCell ref="A1768:C1768"/>
    <mergeCell ref="D1768:E1768"/>
    <mergeCell ref="A1770:E1770"/>
    <mergeCell ref="A1771:B1771"/>
    <mergeCell ref="C1771:C1772"/>
    <mergeCell ref="A1772:B1772"/>
    <mergeCell ref="A1773:E1773"/>
    <mergeCell ref="A1774:E1774"/>
    <mergeCell ref="A1794:C1794"/>
    <mergeCell ref="D1794:E1794"/>
    <mergeCell ref="A1796:E1796"/>
    <mergeCell ref="A1797:B1797"/>
    <mergeCell ref="C1797:C1798"/>
    <mergeCell ref="A1798:B1798"/>
    <mergeCell ref="A1799:E1799"/>
    <mergeCell ref="A1800:E1800"/>
    <mergeCell ref="A1813:C1813"/>
    <mergeCell ref="D1813:E1813"/>
    <mergeCell ref="A1815:E1815"/>
    <mergeCell ref="A1816:B1816"/>
    <mergeCell ref="C1816:C1817"/>
    <mergeCell ref="A1817:B1817"/>
    <mergeCell ref="A1818:E1818"/>
    <mergeCell ref="A1819:E1819"/>
    <mergeCell ref="A1836:C1836"/>
    <mergeCell ref="D1836:E1836"/>
    <mergeCell ref="A1838:E1838"/>
    <mergeCell ref="A1839:B1839"/>
    <mergeCell ref="C1839:C1840"/>
    <mergeCell ref="A1840:B1840"/>
    <mergeCell ref="A1841:E1841"/>
    <mergeCell ref="A1842:E1842"/>
    <mergeCell ref="A1856:C1856"/>
    <mergeCell ref="D1856:E1856"/>
    <mergeCell ref="A1858:E1858"/>
    <mergeCell ref="A1859:B1859"/>
    <mergeCell ref="C1859:C1860"/>
    <mergeCell ref="A1860:B1860"/>
    <mergeCell ref="A1861:E1861"/>
    <mergeCell ref="A1862:E1862"/>
    <mergeCell ref="A1876:C1876"/>
    <mergeCell ref="D1876:E1876"/>
    <mergeCell ref="A1878:E1878"/>
    <mergeCell ref="A1879:B1879"/>
    <mergeCell ref="C1879:C1880"/>
    <mergeCell ref="A1880:B1880"/>
    <mergeCell ref="A1881:E1881"/>
    <mergeCell ref="A1882:E1882"/>
    <mergeCell ref="A1895:C1895"/>
    <mergeCell ref="D1895:E1895"/>
    <mergeCell ref="A1897:E1897"/>
    <mergeCell ref="A1898:B1898"/>
    <mergeCell ref="C1898:C1899"/>
    <mergeCell ref="A1899:B1899"/>
    <mergeCell ref="A1900:E1900"/>
    <mergeCell ref="A1901:E1901"/>
    <mergeCell ref="A1914:C1914"/>
    <mergeCell ref="D1914:E1914"/>
    <mergeCell ref="A1916:E1916"/>
    <mergeCell ref="A1917:B1917"/>
    <mergeCell ref="C1917:C1918"/>
    <mergeCell ref="A1918:B1918"/>
    <mergeCell ref="A1919:E1919"/>
    <mergeCell ref="A1920:E1920"/>
    <mergeCell ref="A1933:C1933"/>
    <mergeCell ref="D1933:E1933"/>
    <mergeCell ref="A1710:E1710"/>
    <mergeCell ref="A1711:B1711"/>
    <mergeCell ref="C1711:C1712"/>
    <mergeCell ref="A1712:B1712"/>
    <mergeCell ref="A1713:E1713"/>
    <mergeCell ref="A1714:E1714"/>
    <mergeCell ref="A1742:C1742"/>
    <mergeCell ref="D1742:E1742"/>
    <mergeCell ref="A1654:E1654"/>
    <mergeCell ref="A1674:C1674"/>
    <mergeCell ref="D1674:E1674"/>
    <mergeCell ref="A1679:E1679"/>
    <mergeCell ref="A1680:E1680"/>
    <mergeCell ref="A1708:C1708"/>
    <mergeCell ref="D1708:E1708"/>
  </mergeCells>
  <pageMargins left="0.95" right="0.7" top="1" bottom="1" header="0.3" footer="0.3"/>
  <pageSetup scale="70"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workbookViewId="0">
      <selection activeCell="D20" sqref="D20"/>
    </sheetView>
  </sheetViews>
  <sheetFormatPr baseColWidth="10" defaultRowHeight="15"/>
  <cols>
    <col min="2" max="2" width="53.85546875" customWidth="1"/>
    <col min="3" max="4" width="30.5703125" customWidth="1"/>
    <col min="5" max="5" width="4.42578125" customWidth="1"/>
  </cols>
  <sheetData>
    <row r="1" spans="2:4" ht="15.75" thickBot="1"/>
    <row r="2" spans="2:4" ht="15.75" thickBot="1">
      <c r="C2" s="233" t="s">
        <v>603</v>
      </c>
      <c r="D2" s="234"/>
    </row>
    <row r="3" spans="2:4">
      <c r="B3" s="150"/>
      <c r="C3" s="157" t="s">
        <v>554</v>
      </c>
      <c r="D3" s="157" t="s">
        <v>560</v>
      </c>
    </row>
    <row r="4" spans="2:4">
      <c r="B4" s="152" t="s">
        <v>555</v>
      </c>
      <c r="C4" s="153">
        <f>42.2*'PPTO 1'!E32</f>
        <v>3798000.0000000005</v>
      </c>
      <c r="D4" s="153">
        <v>0</v>
      </c>
    </row>
    <row r="5" spans="2:4">
      <c r="B5" s="152" t="s">
        <v>562</v>
      </c>
      <c r="C5" s="153">
        <f>1.65*'PPTO 1'!E19</f>
        <v>907500</v>
      </c>
      <c r="D5" s="153">
        <v>0</v>
      </c>
    </row>
    <row r="6" spans="2:4">
      <c r="B6" s="152" t="s">
        <v>561</v>
      </c>
      <c r="C6" s="153">
        <f>3.5*'PPTO 1'!E22</f>
        <v>2100000</v>
      </c>
      <c r="D6" s="153">
        <v>0</v>
      </c>
    </row>
    <row r="7" spans="2:4">
      <c r="B7" s="152" t="s">
        <v>556</v>
      </c>
      <c r="C7" s="153">
        <f>42.2*'PPTO 1'!E36</f>
        <v>1055000</v>
      </c>
      <c r="D7" s="153">
        <v>0</v>
      </c>
    </row>
    <row r="8" spans="2:4">
      <c r="B8" s="152" t="s">
        <v>557</v>
      </c>
      <c r="C8" s="153">
        <f>42.2*'PPTO 1'!E38</f>
        <v>738500</v>
      </c>
      <c r="D8" s="153">
        <v>0</v>
      </c>
    </row>
    <row r="9" spans="2:4">
      <c r="B9" s="152" t="s">
        <v>557</v>
      </c>
      <c r="C9" s="153">
        <f>42.2*'PPTO 1'!E39</f>
        <v>633000</v>
      </c>
      <c r="D9" s="153">
        <v>0</v>
      </c>
    </row>
    <row r="10" spans="2:4">
      <c r="B10" s="152" t="s">
        <v>558</v>
      </c>
      <c r="C10" s="153">
        <f>42.2*'PPTO 1'!E39</f>
        <v>633000</v>
      </c>
      <c r="D10" s="153">
        <v>0</v>
      </c>
    </row>
    <row r="11" spans="2:4">
      <c r="B11" s="152" t="s">
        <v>549</v>
      </c>
      <c r="C11" s="153">
        <v>0</v>
      </c>
      <c r="D11" s="153">
        <f>42.12*'PPTO 1'!E139</f>
        <v>21554909.999999996</v>
      </c>
    </row>
    <row r="12" spans="2:4">
      <c r="B12" s="154" t="s">
        <v>559</v>
      </c>
      <c r="C12" s="153">
        <v>0</v>
      </c>
      <c r="D12" s="153">
        <f>57*46000</f>
        <v>2622000</v>
      </c>
    </row>
    <row r="13" spans="2:4">
      <c r="B13" s="150"/>
      <c r="C13" s="155">
        <f>SUM(C4:C12)</f>
        <v>9865000</v>
      </c>
      <c r="D13" s="155">
        <f>SUM(D4:D12)</f>
        <v>24176909.999999996</v>
      </c>
    </row>
    <row r="14" spans="2:4">
      <c r="B14" s="150"/>
      <c r="C14" s="150"/>
      <c r="D14" s="150"/>
    </row>
    <row r="15" spans="2:4">
      <c r="B15" s="150"/>
      <c r="C15" s="151" t="s">
        <v>173</v>
      </c>
      <c r="D15" s="156">
        <f>+D13-C13</f>
        <v>14311909.999999996</v>
      </c>
    </row>
  </sheetData>
  <mergeCells count="1">
    <mergeCell ref="C2:D2"/>
  </mergeCells>
  <pageMargins left="0.7" right="0.7" top="0.75" bottom="0.75" header="0.3" footer="0.3"/>
  <pageSetup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Frecuencia-Probabilidad</vt:lpstr>
      <vt:lpstr>Tabla impacto severidad</vt:lpstr>
      <vt:lpstr>Análisis</vt:lpstr>
      <vt:lpstr>PPTO 1</vt:lpstr>
      <vt:lpstr>APU´S</vt:lpstr>
      <vt:lpstr>Hoja1</vt:lpstr>
      <vt:lpstr>'PPTO 1'!Títulos_a_imprimir</vt:lpstr>
    </vt:vector>
  </TitlesOfParts>
  <Company>Servicios NAcional de Chocolates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Sumario</dc:creator>
  <cp:lastModifiedBy>USUARIO</cp:lastModifiedBy>
  <cp:lastPrinted>2022-05-09T22:50:44Z</cp:lastPrinted>
  <dcterms:created xsi:type="dcterms:W3CDTF">2010-04-15T20:48:06Z</dcterms:created>
  <dcterms:modified xsi:type="dcterms:W3CDTF">2022-05-09T22:53:12Z</dcterms:modified>
</cp:coreProperties>
</file>